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Retention and Graduation/"/>
    </mc:Choice>
  </mc:AlternateContent>
  <xr:revisionPtr revIDLastSave="145" documentId="8_{63A0E253-B5C2-430F-B225-2B646C3DE931}" xr6:coauthVersionLast="47" xr6:coauthVersionMax="47" xr10:uidLastSave="{0CCD389D-8F21-421E-85D8-FD84500B42EE}"/>
  <bookViews>
    <workbookView xWindow="-120" yWindow="-120" windowWidth="29040" windowHeight="15840" xr2:uid="{00000000-000D-0000-FFFF-FFFF00000000}"/>
  </bookViews>
  <sheets>
    <sheet name="TABLE 36" sheetId="1" r:id="rId1"/>
  </sheets>
  <definedNames>
    <definedName name="_AY91">#REF!</definedName>
    <definedName name="_xlnm.Print_Area" localSheetId="0">'TABLE 36'!$A$1:$AC$97</definedName>
    <definedName name="_xlnm.Print_Titles" localSheetId="0">'TABLE 36'!$1:$3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6" i="1" l="1"/>
  <c r="U66" i="1"/>
  <c r="V66" i="1"/>
  <c r="W66" i="1"/>
  <c r="X66" i="1"/>
  <c r="Y66" i="1"/>
  <c r="Z66" i="1"/>
  <c r="AA66" i="1"/>
  <c r="AB66" i="1"/>
  <c r="AC66" i="1"/>
  <c r="AC62" i="1"/>
  <c r="AC95" i="1"/>
  <c r="AC90" i="1"/>
  <c r="AC85" i="1"/>
  <c r="AC65" i="1"/>
  <c r="AC57" i="1"/>
  <c r="AC44" i="1"/>
  <c r="AB95" i="1"/>
  <c r="AB90" i="1"/>
  <c r="AB85" i="1"/>
  <c r="AB62" i="1"/>
  <c r="AB65" i="1"/>
  <c r="AB57" i="1"/>
  <c r="AB44" i="1"/>
  <c r="AA95" i="1"/>
  <c r="AA90" i="1"/>
  <c r="AA85" i="1"/>
  <c r="AA65" i="1"/>
  <c r="AA62" i="1"/>
  <c r="AA57" i="1"/>
  <c r="AA44" i="1"/>
  <c r="Z78" i="1"/>
  <c r="Z14" i="1"/>
  <c r="Z44" i="1" s="1"/>
  <c r="AA96" i="1" l="1"/>
  <c r="AC96" i="1"/>
  <c r="AB96" i="1"/>
  <c r="Z90" i="1"/>
  <c r="Z62" i="1"/>
  <c r="Z95" i="1"/>
  <c r="Z85" i="1"/>
  <c r="Z65" i="1"/>
  <c r="Z57" i="1"/>
  <c r="Y13" i="1"/>
  <c r="Y44" i="1" s="1"/>
  <c r="Y95" i="1"/>
  <c r="Y90" i="1"/>
  <c r="Y78" i="1"/>
  <c r="Y85" i="1" s="1"/>
  <c r="Y65" i="1"/>
  <c r="Y62" i="1"/>
  <c r="Y57" i="1"/>
  <c r="X13" i="1"/>
  <c r="X44" i="1" s="1"/>
  <c r="X78" i="1"/>
  <c r="X85" i="1" s="1"/>
  <c r="X95" i="1"/>
  <c r="X90" i="1"/>
  <c r="X65" i="1"/>
  <c r="X62" i="1"/>
  <c r="X57" i="1"/>
  <c r="W13" i="1"/>
  <c r="W44" i="1" s="1"/>
  <c r="W95" i="1"/>
  <c r="W78" i="1"/>
  <c r="W85" i="1" s="1"/>
  <c r="W90" i="1"/>
  <c r="W65" i="1"/>
  <c r="W62" i="1"/>
  <c r="W57" i="1"/>
  <c r="V64" i="1"/>
  <c r="V65" i="1" s="1"/>
  <c r="V57" i="1"/>
  <c r="V95" i="1"/>
  <c r="V44" i="1"/>
  <c r="V90" i="1"/>
  <c r="P95" i="1"/>
  <c r="R95" i="1"/>
  <c r="S95" i="1"/>
  <c r="T95" i="1"/>
  <c r="U95" i="1"/>
  <c r="V78" i="1"/>
  <c r="V85" i="1" s="1"/>
  <c r="V62" i="1"/>
  <c r="U57" i="1"/>
  <c r="T57" i="1"/>
  <c r="L90" i="1"/>
  <c r="L65" i="1"/>
  <c r="M65" i="1"/>
  <c r="N65" i="1"/>
  <c r="U90" i="1"/>
  <c r="T90" i="1"/>
  <c r="U85" i="1"/>
  <c r="U65" i="1"/>
  <c r="U62" i="1"/>
  <c r="U44" i="1"/>
  <c r="T13" i="1"/>
  <c r="T44" i="1" s="1"/>
  <c r="T85" i="1"/>
  <c r="T65" i="1"/>
  <c r="T62" i="1"/>
  <c r="P17" i="1"/>
  <c r="P37" i="1"/>
  <c r="O65" i="1"/>
  <c r="P65" i="1"/>
  <c r="Q65" i="1"/>
  <c r="R65" i="1"/>
  <c r="S65" i="1"/>
  <c r="S57" i="1"/>
  <c r="S85" i="1"/>
  <c r="S10" i="1"/>
  <c r="S44" i="1" s="1"/>
  <c r="S90" i="1"/>
  <c r="S62" i="1"/>
  <c r="S66" i="1" s="1"/>
  <c r="R62" i="1"/>
  <c r="R66" i="1" s="1"/>
  <c r="R40" i="1"/>
  <c r="M5" i="1"/>
  <c r="M6" i="1"/>
  <c r="M9" i="1"/>
  <c r="M7" i="1"/>
  <c r="M11" i="1"/>
  <c r="M12" i="1"/>
  <c r="M17" i="1"/>
  <c r="M18" i="1"/>
  <c r="M19" i="1"/>
  <c r="M20" i="1"/>
  <c r="M25" i="1"/>
  <c r="M33" i="1"/>
  <c r="M34" i="1"/>
  <c r="M36" i="1"/>
  <c r="M37" i="1"/>
  <c r="M38" i="1"/>
  <c r="M40" i="1"/>
  <c r="M32" i="1"/>
  <c r="M42" i="1"/>
  <c r="M43" i="1"/>
  <c r="M90" i="1"/>
  <c r="M50" i="1"/>
  <c r="M93" i="1"/>
  <c r="M95" i="1" s="1"/>
  <c r="M54" i="1"/>
  <c r="M62" i="1"/>
  <c r="M66" i="1" s="1"/>
  <c r="M85" i="1"/>
  <c r="N5" i="1"/>
  <c r="N6" i="1"/>
  <c r="N9" i="1"/>
  <c r="N7" i="1"/>
  <c r="N12" i="1"/>
  <c r="N17" i="1"/>
  <c r="N18" i="1"/>
  <c r="N19" i="1"/>
  <c r="N20" i="1"/>
  <c r="N25" i="1"/>
  <c r="N34" i="1"/>
  <c r="N36" i="1"/>
  <c r="N37" i="1"/>
  <c r="N38" i="1"/>
  <c r="N40" i="1"/>
  <c r="N32" i="1"/>
  <c r="N42" i="1"/>
  <c r="N43" i="1"/>
  <c r="N90" i="1"/>
  <c r="N50" i="1"/>
  <c r="N93" i="1"/>
  <c r="N95" i="1" s="1"/>
  <c r="N54" i="1"/>
  <c r="N62" i="1"/>
  <c r="N66" i="1" s="1"/>
  <c r="N85" i="1"/>
  <c r="N30" i="1"/>
  <c r="O5" i="1"/>
  <c r="O9" i="1"/>
  <c r="O7" i="1"/>
  <c r="O17" i="1"/>
  <c r="O18" i="1"/>
  <c r="O19" i="1"/>
  <c r="O20" i="1"/>
  <c r="O21" i="1"/>
  <c r="O25" i="1"/>
  <c r="O32" i="1"/>
  <c r="O34" i="1"/>
  <c r="O36" i="1"/>
  <c r="O37" i="1"/>
  <c r="O38" i="1"/>
  <c r="O40" i="1"/>
  <c r="O42" i="1"/>
  <c r="O43" i="1"/>
  <c r="O50" i="1"/>
  <c r="O93" i="1"/>
  <c r="O95" i="1" s="1"/>
  <c r="O54" i="1"/>
  <c r="O55" i="1"/>
  <c r="O62" i="1"/>
  <c r="O66" i="1" s="1"/>
  <c r="O85" i="1"/>
  <c r="O31" i="1"/>
  <c r="O90" i="1"/>
  <c r="P57" i="1"/>
  <c r="P90" i="1"/>
  <c r="P62" i="1"/>
  <c r="P66" i="1" s="1"/>
  <c r="P85" i="1"/>
  <c r="Q5" i="1"/>
  <c r="Q9" i="1"/>
  <c r="Q7" i="1"/>
  <c r="Q10" i="1"/>
  <c r="Q11" i="1"/>
  <c r="Q12" i="1"/>
  <c r="Q17" i="1"/>
  <c r="Q18" i="1"/>
  <c r="Q19" i="1"/>
  <c r="Q21" i="1"/>
  <c r="Q32" i="1"/>
  <c r="Q34" i="1"/>
  <c r="Q36" i="1"/>
  <c r="Q37" i="1"/>
  <c r="Q38" i="1"/>
  <c r="Q40" i="1"/>
  <c r="Q42" i="1"/>
  <c r="Q43" i="1"/>
  <c r="Q90" i="1"/>
  <c r="Q50" i="1"/>
  <c r="Q93" i="1"/>
  <c r="Q95" i="1" s="1"/>
  <c r="Q54" i="1"/>
  <c r="Q53" i="1"/>
  <c r="Q62" i="1"/>
  <c r="Q66" i="1" s="1"/>
  <c r="Q85" i="1"/>
  <c r="R25" i="1"/>
  <c r="R32" i="1"/>
  <c r="R18" i="1"/>
  <c r="R7" i="1"/>
  <c r="R85" i="1"/>
  <c r="R54" i="1"/>
  <c r="R47" i="1"/>
  <c r="R43" i="1"/>
  <c r="R36" i="1"/>
  <c r="R37" i="1"/>
  <c r="R5" i="1"/>
  <c r="R90" i="1"/>
  <c r="L42" i="1"/>
  <c r="L32" i="1"/>
  <c r="L40" i="1"/>
  <c r="L37" i="1"/>
  <c r="L36" i="1"/>
  <c r="L55" i="1"/>
  <c r="L93" i="1"/>
  <c r="L95" i="1" s="1"/>
  <c r="L54" i="1"/>
  <c r="L34" i="1"/>
  <c r="L33" i="1"/>
  <c r="L31" i="1"/>
  <c r="L30" i="1"/>
  <c r="L43" i="1"/>
  <c r="L25" i="1"/>
  <c r="L22" i="1"/>
  <c r="L20" i="1"/>
  <c r="L19" i="1"/>
  <c r="L18" i="1"/>
  <c r="L5" i="1"/>
  <c r="L6" i="1"/>
  <c r="L17" i="1"/>
  <c r="L85" i="1"/>
  <c r="L62" i="1"/>
  <c r="L66" i="1" s="1"/>
  <c r="G5" i="1"/>
  <c r="H5" i="1"/>
  <c r="I5" i="1"/>
  <c r="G6" i="1"/>
  <c r="K6" i="1"/>
  <c r="K9" i="1"/>
  <c r="K7" i="1"/>
  <c r="K17" i="1"/>
  <c r="K18" i="1"/>
  <c r="K19" i="1"/>
  <c r="K20" i="1"/>
  <c r="K21" i="1"/>
  <c r="K25" i="1"/>
  <c r="K34" i="1"/>
  <c r="K36" i="1"/>
  <c r="K37" i="1"/>
  <c r="K40" i="1"/>
  <c r="K32" i="1"/>
  <c r="K41" i="1"/>
  <c r="K42" i="1"/>
  <c r="K43" i="1"/>
  <c r="G9" i="1"/>
  <c r="H9" i="1"/>
  <c r="I9" i="1"/>
  <c r="G7" i="1"/>
  <c r="H7" i="1"/>
  <c r="I7" i="1"/>
  <c r="H8" i="1"/>
  <c r="I8" i="1"/>
  <c r="G11" i="1"/>
  <c r="G12" i="1"/>
  <c r="I12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I21" i="1"/>
  <c r="G25" i="1"/>
  <c r="H25" i="1"/>
  <c r="I25" i="1"/>
  <c r="H29" i="1"/>
  <c r="I29" i="1"/>
  <c r="G33" i="1"/>
  <c r="G34" i="1"/>
  <c r="H34" i="1"/>
  <c r="I34" i="1"/>
  <c r="G36" i="1"/>
  <c r="H36" i="1"/>
  <c r="I36" i="1"/>
  <c r="G37" i="1"/>
  <c r="H37" i="1"/>
  <c r="I37" i="1"/>
  <c r="G38" i="1"/>
  <c r="H38" i="1"/>
  <c r="I38" i="1"/>
  <c r="G40" i="1"/>
  <c r="H40" i="1"/>
  <c r="I40" i="1"/>
  <c r="G32" i="1"/>
  <c r="H32" i="1"/>
  <c r="I32" i="1"/>
  <c r="G42" i="1"/>
  <c r="H42" i="1"/>
  <c r="G43" i="1"/>
  <c r="H43" i="1"/>
  <c r="I43" i="1"/>
  <c r="B44" i="1"/>
  <c r="C44" i="1"/>
  <c r="D44" i="1"/>
  <c r="E44" i="1"/>
  <c r="G47" i="1"/>
  <c r="G50" i="1"/>
  <c r="G93" i="1"/>
  <c r="H47" i="1"/>
  <c r="H50" i="1"/>
  <c r="I47" i="1"/>
  <c r="I50" i="1"/>
  <c r="I54" i="1"/>
  <c r="I55" i="1"/>
  <c r="K50" i="1"/>
  <c r="K93" i="1"/>
  <c r="K54" i="1"/>
  <c r="D57" i="1"/>
  <c r="J57" i="1"/>
  <c r="B62" i="1"/>
  <c r="F62" i="1"/>
  <c r="F66" i="1" s="1"/>
  <c r="G62" i="1"/>
  <c r="G66" i="1" s="1"/>
  <c r="H62" i="1"/>
  <c r="H66" i="1" s="1"/>
  <c r="I62" i="1"/>
  <c r="I66" i="1" s="1"/>
  <c r="J62" i="1"/>
  <c r="J66" i="1" s="1"/>
  <c r="K62" i="1"/>
  <c r="K66" i="1" s="1"/>
  <c r="K65" i="1"/>
  <c r="I85" i="1"/>
  <c r="J85" i="1"/>
  <c r="K85" i="1"/>
  <c r="H23" i="1"/>
  <c r="K31" i="1"/>
  <c r="Z96" i="1" l="1"/>
  <c r="Y96" i="1"/>
  <c r="X96" i="1"/>
  <c r="W96" i="1"/>
  <c r="T96" i="1"/>
  <c r="U96" i="1"/>
  <c r="C57" i="1"/>
  <c r="L57" i="1"/>
  <c r="R44" i="1"/>
  <c r="K57" i="1"/>
  <c r="G57" i="1"/>
  <c r="L44" i="1"/>
  <c r="P44" i="1"/>
  <c r="E57" i="1"/>
  <c r="H57" i="1"/>
  <c r="O44" i="1"/>
  <c r="I57" i="1"/>
  <c r="F57" i="1"/>
  <c r="V96" i="1"/>
  <c r="B57" i="1"/>
  <c r="N44" i="1"/>
  <c r="K44" i="1"/>
  <c r="R57" i="1"/>
  <c r="Q57" i="1"/>
  <c r="Q44" i="1"/>
  <c r="O57" i="1"/>
  <c r="N57" i="1"/>
  <c r="M57" i="1"/>
  <c r="M44" i="1"/>
  <c r="S96" i="1"/>
  <c r="P96" i="1" l="1"/>
  <c r="R96" i="1"/>
  <c r="L96" i="1"/>
  <c r="M96" i="1"/>
  <c r="Q96" i="1"/>
  <c r="O96" i="1"/>
  <c r="N96" i="1"/>
</calcChain>
</file>

<file path=xl/sharedStrings.xml><?xml version="1.0" encoding="utf-8"?>
<sst xmlns="http://schemas.openxmlformats.org/spreadsheetml/2006/main" count="137" uniqueCount="124">
  <si>
    <t xml:space="preserve">UMass Boston's 10 Year Bachelor's Degrees Conferred </t>
  </si>
  <si>
    <t xml:space="preserve"> </t>
  </si>
  <si>
    <t>AY95-96</t>
  </si>
  <si>
    <t>AY96-97</t>
  </si>
  <si>
    <t>AY97-98</t>
  </si>
  <si>
    <t>AY98-99</t>
  </si>
  <si>
    <t>AY 99-00</t>
  </si>
  <si>
    <t>AY01-02</t>
  </si>
  <si>
    <t>AY02-03</t>
  </si>
  <si>
    <t>AY03-04</t>
  </si>
  <si>
    <t>AY04-05</t>
  </si>
  <si>
    <t>AY05-06</t>
  </si>
  <si>
    <t>AY06-07</t>
  </si>
  <si>
    <t>AY07-08</t>
  </si>
  <si>
    <t>AY08-09</t>
  </si>
  <si>
    <t>AY09-10</t>
  </si>
  <si>
    <t>AY10-11</t>
  </si>
  <si>
    <t>AY11-12</t>
  </si>
  <si>
    <t>AY12-13</t>
  </si>
  <si>
    <t>AY13-14</t>
  </si>
  <si>
    <t>AY14-15</t>
  </si>
  <si>
    <t>AY15-16</t>
  </si>
  <si>
    <t>AY16-17</t>
  </si>
  <si>
    <t>AY17-18</t>
  </si>
  <si>
    <t>AY18-19</t>
  </si>
  <si>
    <t>AY19-20</t>
  </si>
  <si>
    <t>AY20-21</t>
  </si>
  <si>
    <t>COLLEGE OF LIBERAL ARTS</t>
  </si>
  <si>
    <t>Africana Studies</t>
  </si>
  <si>
    <t>American Studies</t>
  </si>
  <si>
    <t xml:space="preserve"> -</t>
  </si>
  <si>
    <t>Anthropology</t>
  </si>
  <si>
    <t>Anthropology/History</t>
  </si>
  <si>
    <t>Art</t>
  </si>
  <si>
    <t>Asian Studies</t>
  </si>
  <si>
    <t>Classical Languages</t>
  </si>
  <si>
    <t>Classical Studies</t>
  </si>
  <si>
    <t>-</t>
  </si>
  <si>
    <t>Community Studies</t>
  </si>
  <si>
    <t>Comm Media and Tech.</t>
  </si>
  <si>
    <t>Community Planning</t>
  </si>
  <si>
    <t>Criminal Justice</t>
  </si>
  <si>
    <t>Economics</t>
  </si>
  <si>
    <t>English</t>
  </si>
  <si>
    <t>Ethic,Social,Political Philosophy</t>
  </si>
  <si>
    <t>French</t>
  </si>
  <si>
    <t>German Studies</t>
  </si>
  <si>
    <t>History</t>
  </si>
  <si>
    <t xml:space="preserve">History and Archaeology </t>
  </si>
  <si>
    <t>Human Services</t>
  </si>
  <si>
    <t>International Relations</t>
  </si>
  <si>
    <t>Italian</t>
  </si>
  <si>
    <t>Labor Studies</t>
  </si>
  <si>
    <t>Legal Ed. Services</t>
  </si>
  <si>
    <t>Latin American and Iberian Studies</t>
  </si>
  <si>
    <t>Music</t>
  </si>
  <si>
    <t>Philosophy</t>
  </si>
  <si>
    <t>Phil. &amp; Public Policy</t>
  </si>
  <si>
    <t>Political Science</t>
  </si>
  <si>
    <t>Psychology</t>
  </si>
  <si>
    <t>Psychology/Sociology</t>
  </si>
  <si>
    <t>Russian</t>
  </si>
  <si>
    <t>Sociology</t>
  </si>
  <si>
    <t>Theater Arts</t>
  </si>
  <si>
    <t>Women's Studies</t>
  </si>
  <si>
    <t>Individual Major</t>
  </si>
  <si>
    <t>TOTAL CLA</t>
  </si>
  <si>
    <t>COLLEGE OF SCIENCE &amp; MATHEMATICS</t>
  </si>
  <si>
    <t>Biochemistry</t>
  </si>
  <si>
    <t>Biology</t>
  </si>
  <si>
    <t>Chemistry</t>
  </si>
  <si>
    <t>Computer Engineering</t>
  </si>
  <si>
    <t>Computer Science</t>
  </si>
  <si>
    <t>Engineering Physics</t>
  </si>
  <si>
    <t>Electrical Engineering</t>
  </si>
  <si>
    <t>Information Technology</t>
  </si>
  <si>
    <t>Mathematics</t>
  </si>
  <si>
    <t>Physics</t>
  </si>
  <si>
    <t>TOTAL CSM</t>
  </si>
  <si>
    <t>Nursing</t>
  </si>
  <si>
    <t>Accelerated Nursing</t>
  </si>
  <si>
    <t>Nursing for RN's</t>
  </si>
  <si>
    <t>TOTAL NURSING</t>
  </si>
  <si>
    <t>EXERCISE AND HEALTH SCIENCE</t>
  </si>
  <si>
    <t>Exercise and Health Science</t>
  </si>
  <si>
    <t>TOTAL EHS</t>
  </si>
  <si>
    <t>COLLEGE OF MANAGEMENT</t>
  </si>
  <si>
    <t>Accounting</t>
  </si>
  <si>
    <t>Finance</t>
  </si>
  <si>
    <t>Human Resource Management</t>
  </si>
  <si>
    <t>Info. Mgt. Finance</t>
  </si>
  <si>
    <t>Info. Mgt. Mrkt</t>
  </si>
  <si>
    <t>Management</t>
  </si>
  <si>
    <t>Marketing</t>
  </si>
  <si>
    <t>Management Science for Finance</t>
  </si>
  <si>
    <t>Management Science for Marketing</t>
  </si>
  <si>
    <t>Operations Management &amp;
Management Information Systems</t>
  </si>
  <si>
    <t xml:space="preserve">Supply Chain Management </t>
  </si>
  <si>
    <t>TOTAL CM</t>
  </si>
  <si>
    <t>Gerontology</t>
  </si>
  <si>
    <t xml:space="preserve">Global Affairs </t>
  </si>
  <si>
    <t xml:space="preserve">COLLEGE OF EDUCATION AND HUMAN DEVELOPMENT </t>
  </si>
  <si>
    <t>Early Education &amp; Care Inclusive Settings (BA)</t>
  </si>
  <si>
    <t>Elementary Education (BSEDU)</t>
  </si>
  <si>
    <t>Sport Leadership</t>
  </si>
  <si>
    <t>TOTAL CEHD</t>
  </si>
  <si>
    <t xml:space="preserve">SCHOOL FOR THE ENVIRONMENT </t>
  </si>
  <si>
    <t xml:space="preserve">Community Development </t>
  </si>
  <si>
    <t>Environmental Sciences</t>
  </si>
  <si>
    <t>Environmental Studies and Sustainability</t>
  </si>
  <si>
    <t>TOTAL SFE</t>
  </si>
  <si>
    <t xml:space="preserve">UNIVERSITY TOTAL </t>
  </si>
  <si>
    <t>NOTE:  Table includes all degrees awarded.  A student may receive more than one degree.</t>
  </si>
  <si>
    <t>Entrepreneur &amp; Small Business
 Management</t>
  </si>
  <si>
    <t>AY21-22</t>
  </si>
  <si>
    <t>AY22-23</t>
  </si>
  <si>
    <t>Sport Business</t>
  </si>
  <si>
    <t>AY23-24</t>
  </si>
  <si>
    <t>Communication</t>
  </si>
  <si>
    <t>MANNING COLLEGE OF NURSING AND HEALTH SCIENCES</t>
  </si>
  <si>
    <t>Mgt Info. System and Business Analytics</t>
  </si>
  <si>
    <t>International Management</t>
  </si>
  <si>
    <t>Interdisciplinary Business</t>
  </si>
  <si>
    <t>TOTAL MCNHS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</si>
</sst>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0" fontId="7" fillId="0" borderId="0" applyNumberFormat="0" applyFill="0" applyBorder="0" applyAlignment="0" applyProtection="0"/>
    <xf numFmtId="2" fontId="1" fillId="0" borderId="0" applyFill="0" applyBorder="0" applyAlignment="0" applyProtection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20" borderId="6" applyNumberFormat="0" applyAlignment="0" applyProtection="0"/>
    <xf numFmtId="0" fontId="16" fillId="0" borderId="0" applyNumberFormat="0" applyFill="0" applyBorder="0" applyAlignment="0" applyProtection="0"/>
    <xf numFmtId="0" fontId="1" fillId="0" borderId="7" applyNumberFormat="0" applyFill="0" applyAlignment="0" applyProtection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20" fillId="0" borderId="8" xfId="41" applyFont="1" applyFill="1" applyBorder="1" applyAlignment="1">
      <alignment horizontal="center"/>
    </xf>
    <xf numFmtId="0" fontId="20" fillId="0" borderId="0" xfId="41" applyFont="1" applyFill="1" applyBorder="1" applyAlignment="1">
      <alignment horizontal="center"/>
    </xf>
    <xf numFmtId="0" fontId="19" fillId="0" borderId="0" xfId="41" applyFont="1" applyFill="1" applyBorder="1" applyAlignment="1">
      <alignment horizontal="center"/>
    </xf>
    <xf numFmtId="0" fontId="19" fillId="0" borderId="8" xfId="4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3" fontId="20" fillId="0" borderId="8" xfId="41" applyNumberFormat="1" applyFont="1" applyFill="1" applyBorder="1" applyAlignment="1">
      <alignment horizontal="center"/>
    </xf>
    <xf numFmtId="1" fontId="20" fillId="0" borderId="8" xfId="41" applyNumberFormat="1" applyFont="1" applyFill="1" applyBorder="1" applyAlignment="1">
      <alignment horizontal="center"/>
    </xf>
    <xf numFmtId="0" fontId="19" fillId="0" borderId="0" xfId="41" applyFont="1" applyFill="1" applyBorder="1"/>
    <xf numFmtId="0" fontId="21" fillId="0" borderId="0" xfId="0" applyFont="1"/>
    <xf numFmtId="0" fontId="20" fillId="0" borderId="0" xfId="41" applyFont="1" applyFill="1" applyBorder="1"/>
    <xf numFmtId="0" fontId="21" fillId="0" borderId="0" xfId="41" applyFont="1" applyFill="1" applyBorder="1"/>
    <xf numFmtId="0" fontId="20" fillId="0" borderId="0" xfId="4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8" xfId="41" applyFont="1" applyFill="1" applyBorder="1"/>
    <xf numFmtId="0" fontId="19" fillId="0" borderId="8" xfId="0" applyFont="1" applyBorder="1"/>
    <xf numFmtId="0" fontId="20" fillId="0" borderId="8" xfId="41" applyFont="1" applyFill="1" applyBorder="1" applyAlignment="1">
      <alignment horizontal="left"/>
    </xf>
    <xf numFmtId="0" fontId="20" fillId="0" borderId="8" xfId="0" applyFont="1" applyBorder="1"/>
    <xf numFmtId="0" fontId="19" fillId="0" borderId="9" xfId="0" applyFont="1" applyBorder="1"/>
    <xf numFmtId="0" fontId="20" fillId="0" borderId="9" xfId="0" quotePrefix="1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00000000-0005-0000-0000-00001B000000}"/>
    <cellStyle name="Currency0" xfId="29" xr:uid="{00000000-0005-0000-0000-00001C000000}"/>
    <cellStyle name="Date" xfId="30" xr:uid="{00000000-0005-0000-0000-00001D000000}"/>
    <cellStyle name="Explanatory Text" xfId="31" builtinId="53" customBuiltin="1"/>
    <cellStyle name="Fixed" xfId="32" xr:uid="{00000000-0005-0000-0000-00001F000000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Degrees 2000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040" name="Line 2">
          <a:extLst>
            <a:ext uri="{FF2B5EF4-FFF2-40B4-BE49-F238E27FC236}">
              <a16:creationId xmlns:a16="http://schemas.microsoft.com/office/drawing/2014/main" id="{8E76783A-DC51-6745-9FD8-4C352F4C6033}"/>
            </a:ext>
          </a:extLst>
        </xdr:cNvPr>
        <xdr:cNvSpPr>
          <a:spLocks noChangeShapeType="1"/>
        </xdr:cNvSpPr>
      </xdr:nvSpPr>
      <xdr:spPr bwMode="auto">
        <a:xfrm flipV="1">
          <a:off x="2705100" y="1035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63</xdr:row>
      <xdr:rowOff>152400</xdr:rowOff>
    </xdr:from>
    <xdr:to>
      <xdr:col>11</xdr:col>
      <xdr:colOff>0</xdr:colOff>
      <xdr:row>64</xdr:row>
      <xdr:rowOff>0</xdr:rowOff>
    </xdr:to>
    <xdr:sp macro="" textlink="">
      <xdr:nvSpPr>
        <xdr:cNvPr id="2041" name="Line 3">
          <a:extLst>
            <a:ext uri="{FF2B5EF4-FFF2-40B4-BE49-F238E27FC236}">
              <a16:creationId xmlns:a16="http://schemas.microsoft.com/office/drawing/2014/main" id="{46737285-5DF6-9749-9985-97C9EC44FFE6}"/>
            </a:ext>
          </a:extLst>
        </xdr:cNvPr>
        <xdr:cNvSpPr>
          <a:spLocks noChangeShapeType="1"/>
        </xdr:cNvSpPr>
      </xdr:nvSpPr>
      <xdr:spPr bwMode="auto">
        <a:xfrm flipV="1">
          <a:off x="2705100" y="120269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66</xdr:row>
      <xdr:rowOff>25400</xdr:rowOff>
    </xdr:from>
    <xdr:to>
      <xdr:col>11</xdr:col>
      <xdr:colOff>0</xdr:colOff>
      <xdr:row>66</xdr:row>
      <xdr:rowOff>38100</xdr:rowOff>
    </xdr:to>
    <xdr:sp macro="" textlink="">
      <xdr:nvSpPr>
        <xdr:cNvPr id="2042" name="Line 4">
          <a:extLst>
            <a:ext uri="{FF2B5EF4-FFF2-40B4-BE49-F238E27FC236}">
              <a16:creationId xmlns:a16="http://schemas.microsoft.com/office/drawing/2014/main" id="{22B183FA-FE57-B541-911D-C82D99731551}"/>
            </a:ext>
          </a:extLst>
        </xdr:cNvPr>
        <xdr:cNvSpPr>
          <a:spLocks noChangeShapeType="1"/>
        </xdr:cNvSpPr>
      </xdr:nvSpPr>
      <xdr:spPr bwMode="auto">
        <a:xfrm flipV="1">
          <a:off x="2705100" y="12471400"/>
          <a:ext cx="0" cy="1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58</xdr:row>
      <xdr:rowOff>127000</xdr:rowOff>
    </xdr:from>
    <xdr:to>
      <xdr:col>15</xdr:col>
      <xdr:colOff>0</xdr:colOff>
      <xdr:row>58</xdr:row>
      <xdr:rowOff>139700</xdr:rowOff>
    </xdr:to>
    <xdr:sp macro="" textlink="">
      <xdr:nvSpPr>
        <xdr:cNvPr id="2043" name="Line 5">
          <a:extLst>
            <a:ext uri="{FF2B5EF4-FFF2-40B4-BE49-F238E27FC236}">
              <a16:creationId xmlns:a16="http://schemas.microsoft.com/office/drawing/2014/main" id="{3ECCF586-7C71-CE4C-B57B-08FFF9617955}"/>
            </a:ext>
          </a:extLst>
        </xdr:cNvPr>
        <xdr:cNvSpPr>
          <a:spLocks noChangeShapeType="1"/>
        </xdr:cNvSpPr>
      </xdr:nvSpPr>
      <xdr:spPr bwMode="auto">
        <a:xfrm>
          <a:off x="2705100" y="11049000"/>
          <a:ext cx="0" cy="1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8"/>
  <sheetViews>
    <sheetView tabSelected="1" zoomScale="130" zoomScaleNormal="130" workbookViewId="0">
      <selection activeCell="AD64" sqref="AD64"/>
    </sheetView>
  </sheetViews>
  <sheetFormatPr defaultColWidth="11.42578125" defaultRowHeight="15" x14ac:dyDescent="0.25"/>
  <cols>
    <col min="1" max="1" width="41" style="1" customWidth="1"/>
    <col min="2" max="2" width="8" style="2" hidden="1" customWidth="1"/>
    <col min="3" max="3" width="0.140625" style="2" hidden="1" customWidth="1"/>
    <col min="4" max="5" width="8" style="2" hidden="1" customWidth="1"/>
    <col min="6" max="6" width="10.42578125" style="2" hidden="1" customWidth="1"/>
    <col min="7" max="7" width="1.28515625" style="2" hidden="1" customWidth="1"/>
    <col min="8" max="9" width="10.42578125" style="2" hidden="1" customWidth="1"/>
    <col min="10" max="10" width="12.28515625" style="2" hidden="1" customWidth="1"/>
    <col min="11" max="11" width="8.140625" style="2" hidden="1" customWidth="1"/>
    <col min="12" max="12" width="8.85546875" style="2" hidden="1" customWidth="1"/>
    <col min="13" max="13" width="8.140625" style="2" hidden="1" customWidth="1"/>
    <col min="14" max="14" width="8.140625" style="1" hidden="1" customWidth="1"/>
    <col min="15" max="16" width="8.42578125" style="2" hidden="1" customWidth="1"/>
    <col min="17" max="17" width="8.42578125" style="1" hidden="1" customWidth="1"/>
    <col min="18" max="18" width="8.140625" style="1" hidden="1" customWidth="1"/>
    <col min="19" max="19" width="7.85546875" style="1" hidden="1" customWidth="1"/>
    <col min="20" max="22" width="7.85546875" style="2" bestFit="1" customWidth="1"/>
    <col min="23" max="23" width="8.7109375" style="2" customWidth="1"/>
    <col min="24" max="24" width="8.42578125" style="1" customWidth="1"/>
    <col min="25" max="25" width="7.5703125" style="2" customWidth="1"/>
    <col min="26" max="26" width="7.85546875" style="1" customWidth="1"/>
    <col min="27" max="27" width="7.85546875" style="2" customWidth="1"/>
    <col min="28" max="28" width="8.28515625" style="2" customWidth="1"/>
    <col min="29" max="29" width="8.42578125" style="2" customWidth="1"/>
    <col min="30" max="16384" width="11.42578125" style="1"/>
  </cols>
  <sheetData>
    <row r="1" spans="1:29" ht="18.75" x14ac:dyDescent="0.3">
      <c r="A1" s="29" t="s">
        <v>0</v>
      </c>
    </row>
    <row r="3" spans="1:29" ht="15.75" thickBot="1" x14ac:dyDescent="0.3">
      <c r="A3" s="27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28" t="s">
        <v>7</v>
      </c>
      <c r="H3" s="28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14" t="s">
        <v>114</v>
      </c>
      <c r="AB3" s="14" t="s">
        <v>115</v>
      </c>
      <c r="AC3" s="14" t="s">
        <v>117</v>
      </c>
    </row>
    <row r="4" spans="1:29" x14ac:dyDescent="0.25">
      <c r="A4" s="18" t="s">
        <v>27</v>
      </c>
    </row>
    <row r="5" spans="1:29" x14ac:dyDescent="0.25">
      <c r="A5" s="1" t="s">
        <v>28</v>
      </c>
      <c r="B5" s="2">
        <v>10</v>
      </c>
      <c r="C5" s="2">
        <v>13</v>
      </c>
      <c r="D5" s="2">
        <v>5</v>
      </c>
      <c r="E5" s="2">
        <v>10</v>
      </c>
      <c r="F5" s="2">
        <v>4</v>
      </c>
      <c r="G5" s="2">
        <f>8+4</f>
        <v>12</v>
      </c>
      <c r="H5" s="2">
        <f>7+1</f>
        <v>8</v>
      </c>
      <c r="I5" s="2">
        <f>4+4+1</f>
        <v>9</v>
      </c>
      <c r="J5" s="2">
        <v>4</v>
      </c>
      <c r="K5" s="2">
        <v>8</v>
      </c>
      <c r="L5" s="2">
        <f>7+3</f>
        <v>10</v>
      </c>
      <c r="M5" s="2">
        <f>7+3</f>
        <v>10</v>
      </c>
      <c r="N5" s="2">
        <f>1+4</f>
        <v>5</v>
      </c>
      <c r="O5" s="2">
        <f>9+3+1</f>
        <v>13</v>
      </c>
      <c r="P5" s="2">
        <v>12</v>
      </c>
      <c r="Q5" s="2">
        <f>4+2</f>
        <v>6</v>
      </c>
      <c r="R5" s="2">
        <f>8+1</f>
        <v>9</v>
      </c>
      <c r="S5" s="2">
        <v>9</v>
      </c>
      <c r="T5" s="2">
        <v>7</v>
      </c>
      <c r="U5" s="2">
        <v>9</v>
      </c>
      <c r="V5" s="2">
        <v>4</v>
      </c>
      <c r="W5" s="2">
        <v>3</v>
      </c>
      <c r="X5" s="2">
        <v>16</v>
      </c>
      <c r="Y5" s="2">
        <v>9</v>
      </c>
      <c r="Z5" s="2">
        <v>9</v>
      </c>
      <c r="AA5" s="2">
        <v>8</v>
      </c>
      <c r="AB5" s="2">
        <v>5</v>
      </c>
      <c r="AC5" s="2">
        <v>3</v>
      </c>
    </row>
    <row r="6" spans="1:29" x14ac:dyDescent="0.25">
      <c r="A6" s="17" t="s">
        <v>29</v>
      </c>
      <c r="B6" s="2" t="s">
        <v>30</v>
      </c>
      <c r="C6" s="2" t="s">
        <v>30</v>
      </c>
      <c r="D6" s="2">
        <v>1</v>
      </c>
      <c r="E6" s="2">
        <v>3</v>
      </c>
      <c r="F6" s="2">
        <v>11</v>
      </c>
      <c r="G6" s="2">
        <f>12+2</f>
        <v>14</v>
      </c>
      <c r="H6" s="2">
        <v>12</v>
      </c>
      <c r="I6" s="2">
        <v>17</v>
      </c>
      <c r="J6" s="2">
        <v>17</v>
      </c>
      <c r="K6" s="2">
        <f>10+1</f>
        <v>11</v>
      </c>
      <c r="L6" s="2">
        <f>15+3</f>
        <v>18</v>
      </c>
      <c r="M6" s="2">
        <f>13+1</f>
        <v>14</v>
      </c>
      <c r="N6" s="2">
        <f>18+2</f>
        <v>20</v>
      </c>
      <c r="O6" s="2">
        <v>14</v>
      </c>
      <c r="P6" s="2">
        <v>11</v>
      </c>
      <c r="Q6" s="2">
        <v>14</v>
      </c>
      <c r="R6" s="2">
        <v>11</v>
      </c>
      <c r="S6" s="2">
        <v>17</v>
      </c>
      <c r="T6" s="2">
        <v>8</v>
      </c>
      <c r="U6" s="2">
        <v>8</v>
      </c>
      <c r="V6" s="2">
        <v>10</v>
      </c>
      <c r="W6" s="2">
        <v>6</v>
      </c>
      <c r="X6" s="2">
        <v>2</v>
      </c>
      <c r="Y6" s="2">
        <v>4</v>
      </c>
      <c r="Z6" s="2">
        <v>8</v>
      </c>
      <c r="AA6" s="2">
        <v>4</v>
      </c>
      <c r="AB6" s="2">
        <v>5</v>
      </c>
      <c r="AC6" s="2">
        <v>2</v>
      </c>
    </row>
    <row r="7" spans="1:29" x14ac:dyDescent="0.25">
      <c r="A7" s="1" t="s">
        <v>31</v>
      </c>
      <c r="B7" s="2">
        <v>20</v>
      </c>
      <c r="C7" s="2">
        <v>26</v>
      </c>
      <c r="D7" s="2">
        <v>32</v>
      </c>
      <c r="E7" s="2">
        <v>23</v>
      </c>
      <c r="F7" s="2">
        <v>28</v>
      </c>
      <c r="G7" s="2">
        <f>27+1</f>
        <v>28</v>
      </c>
      <c r="H7" s="2">
        <f>26+5</f>
        <v>31</v>
      </c>
      <c r="I7" s="2">
        <f>13+2</f>
        <v>15</v>
      </c>
      <c r="J7" s="2">
        <v>20</v>
      </c>
      <c r="K7" s="2">
        <f>23+2</f>
        <v>25</v>
      </c>
      <c r="L7" s="2">
        <v>20</v>
      </c>
      <c r="M7" s="2">
        <f>25+2</f>
        <v>27</v>
      </c>
      <c r="N7" s="2">
        <f>27+3</f>
        <v>30</v>
      </c>
      <c r="O7" s="2">
        <f>24+1</f>
        <v>25</v>
      </c>
      <c r="P7" s="2">
        <v>40</v>
      </c>
      <c r="Q7" s="2">
        <f>31+7</f>
        <v>38</v>
      </c>
      <c r="R7" s="2">
        <f>45+1</f>
        <v>46</v>
      </c>
      <c r="S7" s="2">
        <v>29</v>
      </c>
      <c r="T7" s="2">
        <v>26</v>
      </c>
      <c r="U7" s="2">
        <v>40</v>
      </c>
      <c r="V7" s="2">
        <v>20</v>
      </c>
      <c r="W7" s="2">
        <v>31</v>
      </c>
      <c r="X7" s="2">
        <v>33</v>
      </c>
      <c r="Y7" s="2">
        <v>26</v>
      </c>
      <c r="Z7" s="2">
        <v>26</v>
      </c>
      <c r="AA7" s="2">
        <v>27</v>
      </c>
      <c r="AB7" s="2">
        <v>24</v>
      </c>
      <c r="AC7" s="2">
        <v>22</v>
      </c>
    </row>
    <row r="8" spans="1:29" x14ac:dyDescent="0.25">
      <c r="A8" s="1" t="s">
        <v>32</v>
      </c>
      <c r="B8" s="2">
        <v>1</v>
      </c>
      <c r="C8" s="2">
        <v>1</v>
      </c>
      <c r="D8" s="2">
        <v>2</v>
      </c>
      <c r="E8" s="2">
        <v>2</v>
      </c>
      <c r="F8" s="2">
        <v>1</v>
      </c>
      <c r="G8" s="2">
        <v>2</v>
      </c>
      <c r="H8" s="2">
        <f>3+1</f>
        <v>4</v>
      </c>
      <c r="I8" s="2">
        <f>1+1</f>
        <v>2</v>
      </c>
      <c r="J8" s="2">
        <v>1</v>
      </c>
      <c r="K8" s="2">
        <v>2</v>
      </c>
      <c r="L8" s="2">
        <v>0</v>
      </c>
      <c r="M8" s="2">
        <v>2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3</v>
      </c>
      <c r="Y8" s="2">
        <v>0</v>
      </c>
      <c r="Z8" s="2">
        <v>0</v>
      </c>
      <c r="AA8" s="2">
        <v>0</v>
      </c>
      <c r="AB8" s="2">
        <v>0</v>
      </c>
      <c r="AC8" s="2">
        <v>0</v>
      </c>
    </row>
    <row r="9" spans="1:29" x14ac:dyDescent="0.25">
      <c r="A9" s="1" t="s">
        <v>33</v>
      </c>
      <c r="B9" s="2">
        <v>30</v>
      </c>
      <c r="C9" s="2">
        <v>29</v>
      </c>
      <c r="D9" s="2">
        <v>28</v>
      </c>
      <c r="E9" s="2">
        <v>45</v>
      </c>
      <c r="F9" s="2">
        <v>30</v>
      </c>
      <c r="G9" s="2">
        <f>47+2</f>
        <v>49</v>
      </c>
      <c r="H9" s="2">
        <f>34+5</f>
        <v>39</v>
      </c>
      <c r="I9" s="2">
        <f>29+8</f>
        <v>37</v>
      </c>
      <c r="J9" s="2">
        <v>34</v>
      </c>
      <c r="K9" s="2">
        <f>34+3</f>
        <v>37</v>
      </c>
      <c r="L9" s="2">
        <v>25</v>
      </c>
      <c r="M9" s="2">
        <f>26+2</f>
        <v>28</v>
      </c>
      <c r="N9" s="2">
        <f>19+3</f>
        <v>22</v>
      </c>
      <c r="O9" s="2">
        <f>31+2</f>
        <v>33</v>
      </c>
      <c r="P9" s="2">
        <v>21</v>
      </c>
      <c r="Q9" s="2">
        <f>32+4</f>
        <v>36</v>
      </c>
      <c r="R9" s="2">
        <v>34</v>
      </c>
      <c r="S9" s="2">
        <v>25</v>
      </c>
      <c r="T9" s="2">
        <v>21</v>
      </c>
      <c r="U9" s="2">
        <v>26</v>
      </c>
      <c r="V9" s="2">
        <v>29</v>
      </c>
      <c r="W9" s="2">
        <v>32</v>
      </c>
      <c r="X9" s="2">
        <v>18</v>
      </c>
      <c r="Y9" s="2">
        <v>30</v>
      </c>
      <c r="Z9" s="2">
        <v>29</v>
      </c>
      <c r="AA9" s="2">
        <v>31</v>
      </c>
      <c r="AB9" s="2">
        <v>14</v>
      </c>
      <c r="AC9" s="2">
        <v>26</v>
      </c>
    </row>
    <row r="10" spans="1:29" x14ac:dyDescent="0.25">
      <c r="A10" s="1" t="s">
        <v>34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f>5+1</f>
        <v>6</v>
      </c>
      <c r="R10" s="2">
        <v>10</v>
      </c>
      <c r="S10" s="2">
        <f>8+1</f>
        <v>9</v>
      </c>
      <c r="T10" s="2">
        <v>10</v>
      </c>
      <c r="U10" s="2">
        <v>5</v>
      </c>
      <c r="V10" s="2">
        <v>8</v>
      </c>
      <c r="W10" s="2">
        <v>5</v>
      </c>
      <c r="X10" s="2">
        <v>6</v>
      </c>
      <c r="Y10" s="2">
        <v>10</v>
      </c>
      <c r="Z10" s="2">
        <v>5</v>
      </c>
      <c r="AA10" s="2">
        <v>4</v>
      </c>
      <c r="AB10" s="2">
        <v>11</v>
      </c>
      <c r="AC10" s="2">
        <v>4</v>
      </c>
    </row>
    <row r="11" spans="1:29" x14ac:dyDescent="0.25">
      <c r="A11" s="1" t="s">
        <v>35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f>2+3</f>
        <v>5</v>
      </c>
      <c r="H11" s="2">
        <v>0</v>
      </c>
      <c r="I11" s="2">
        <v>1</v>
      </c>
      <c r="J11" s="2">
        <v>2</v>
      </c>
      <c r="K11" s="2">
        <v>2</v>
      </c>
      <c r="L11" s="2">
        <v>1</v>
      </c>
      <c r="M11" s="2">
        <f>1+1</f>
        <v>2</v>
      </c>
      <c r="N11" s="2">
        <v>4</v>
      </c>
      <c r="O11" s="2">
        <v>4</v>
      </c>
      <c r="P11" s="2">
        <v>1</v>
      </c>
      <c r="Q11" s="2">
        <f>1+1</f>
        <v>2</v>
      </c>
      <c r="R11" s="2">
        <v>1</v>
      </c>
      <c r="S11" s="2">
        <v>3</v>
      </c>
      <c r="T11" s="2">
        <v>0</v>
      </c>
      <c r="U11" s="2">
        <v>1</v>
      </c>
      <c r="V11" s="2">
        <v>2</v>
      </c>
      <c r="W11" s="2">
        <v>1</v>
      </c>
      <c r="X11" s="2">
        <v>1</v>
      </c>
      <c r="Y11" s="2">
        <v>1</v>
      </c>
      <c r="Z11" s="2">
        <v>0</v>
      </c>
      <c r="AA11" s="2">
        <v>2</v>
      </c>
      <c r="AB11" s="2">
        <v>0</v>
      </c>
      <c r="AC11" s="2">
        <v>1</v>
      </c>
    </row>
    <row r="12" spans="1:29" x14ac:dyDescent="0.25">
      <c r="A12" s="1" t="s">
        <v>36</v>
      </c>
      <c r="B12" s="2">
        <v>4</v>
      </c>
      <c r="C12" s="2">
        <v>3</v>
      </c>
      <c r="D12" s="2">
        <v>3</v>
      </c>
      <c r="E12" s="2">
        <v>3</v>
      </c>
      <c r="F12" s="2">
        <v>3</v>
      </c>
      <c r="G12" s="2">
        <f>2+2</f>
        <v>4</v>
      </c>
      <c r="H12" s="2">
        <v>1</v>
      </c>
      <c r="I12" s="2">
        <f>7+1</f>
        <v>8</v>
      </c>
      <c r="J12" s="2">
        <v>0</v>
      </c>
      <c r="K12" s="2">
        <v>4</v>
      </c>
      <c r="L12" s="2">
        <v>2</v>
      </c>
      <c r="M12" s="2">
        <f>9+1</f>
        <v>10</v>
      </c>
      <c r="N12" s="2">
        <f>4+2</f>
        <v>6</v>
      </c>
      <c r="O12" s="2">
        <v>2</v>
      </c>
      <c r="P12" s="2">
        <v>2</v>
      </c>
      <c r="Q12" s="2">
        <f>1+1</f>
        <v>2</v>
      </c>
      <c r="R12" s="2">
        <v>7</v>
      </c>
      <c r="S12" s="2">
        <v>5</v>
      </c>
      <c r="T12" s="2">
        <v>3</v>
      </c>
      <c r="U12" s="2">
        <v>1</v>
      </c>
      <c r="V12" s="2">
        <v>2</v>
      </c>
      <c r="W12" s="2">
        <v>2</v>
      </c>
      <c r="X12" s="2">
        <v>2</v>
      </c>
      <c r="Y12" s="2">
        <v>3</v>
      </c>
      <c r="Z12" s="2">
        <v>5</v>
      </c>
      <c r="AA12" s="2">
        <v>4</v>
      </c>
      <c r="AB12" s="2">
        <v>7</v>
      </c>
      <c r="AC12" s="2">
        <v>3</v>
      </c>
    </row>
    <row r="13" spans="1:29" x14ac:dyDescent="0.25">
      <c r="A13" s="1" t="s">
        <v>118</v>
      </c>
      <c r="N13" s="2"/>
      <c r="Q13" s="2"/>
      <c r="R13" s="2" t="s">
        <v>37</v>
      </c>
      <c r="S13" s="2">
        <v>17</v>
      </c>
      <c r="T13" s="2">
        <f>46+1+1</f>
        <v>48</v>
      </c>
      <c r="U13" s="2">
        <v>66</v>
      </c>
      <c r="V13" s="2">
        <v>93</v>
      </c>
      <c r="W13" s="2">
        <f>96+1+2</f>
        <v>99</v>
      </c>
      <c r="X13" s="2">
        <f>1+107</f>
        <v>108</v>
      </c>
      <c r="Y13" s="2">
        <f>108+1</f>
        <v>109</v>
      </c>
      <c r="Z13" s="2">
        <v>106</v>
      </c>
      <c r="AA13" s="2">
        <v>98</v>
      </c>
      <c r="AB13" s="2">
        <v>66</v>
      </c>
      <c r="AC13" s="2">
        <v>70</v>
      </c>
    </row>
    <row r="14" spans="1:29" x14ac:dyDescent="0.25">
      <c r="A14" s="1" t="s">
        <v>38</v>
      </c>
      <c r="H14" s="2">
        <v>0</v>
      </c>
      <c r="I14" s="2">
        <v>0</v>
      </c>
      <c r="J14" s="2">
        <v>0</v>
      </c>
      <c r="K14" s="2">
        <v>0</v>
      </c>
      <c r="L14" s="2">
        <v>9</v>
      </c>
      <c r="M14" s="2">
        <v>48</v>
      </c>
      <c r="N14" s="2">
        <v>50</v>
      </c>
      <c r="O14" s="2">
        <v>31</v>
      </c>
      <c r="P14" s="2">
        <v>32</v>
      </c>
      <c r="Q14" s="2">
        <v>27</v>
      </c>
      <c r="R14" s="2">
        <v>3</v>
      </c>
      <c r="S14" s="2">
        <v>4</v>
      </c>
      <c r="T14" s="2">
        <v>1</v>
      </c>
      <c r="U14" s="2">
        <v>5</v>
      </c>
      <c r="V14" s="2">
        <v>2</v>
      </c>
      <c r="W14" s="2">
        <v>1</v>
      </c>
      <c r="X14" s="2">
        <v>1</v>
      </c>
      <c r="Y14" s="2">
        <v>2</v>
      </c>
      <c r="Z14" s="2">
        <f>1+2</f>
        <v>3</v>
      </c>
      <c r="AA14" s="2">
        <v>0</v>
      </c>
      <c r="AB14" s="2">
        <v>0</v>
      </c>
      <c r="AC14" s="2">
        <v>0</v>
      </c>
    </row>
    <row r="15" spans="1:29" x14ac:dyDescent="0.25">
      <c r="A15" s="1" t="s">
        <v>39</v>
      </c>
      <c r="G15" s="2">
        <v>0</v>
      </c>
      <c r="H15" s="2">
        <v>0</v>
      </c>
      <c r="I15" s="2">
        <v>0</v>
      </c>
      <c r="J15" s="2">
        <v>0</v>
      </c>
      <c r="K15" s="2">
        <v>2</v>
      </c>
      <c r="L15" s="2">
        <v>4</v>
      </c>
      <c r="M15" s="2">
        <v>2</v>
      </c>
      <c r="N15" s="2">
        <v>3</v>
      </c>
      <c r="O15" s="2">
        <v>3</v>
      </c>
      <c r="P15" s="2">
        <v>0</v>
      </c>
      <c r="Q15" s="2">
        <v>3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</row>
    <row r="16" spans="1:29" x14ac:dyDescent="0.25">
      <c r="A16" s="1" t="s">
        <v>40</v>
      </c>
      <c r="B16" s="2">
        <v>5</v>
      </c>
      <c r="C16" s="2">
        <v>4</v>
      </c>
      <c r="D16" s="2">
        <v>4</v>
      </c>
      <c r="E16" s="2">
        <v>6</v>
      </c>
      <c r="F16" s="2">
        <v>2</v>
      </c>
      <c r="G16" s="2">
        <v>1</v>
      </c>
      <c r="H16" s="2">
        <v>6</v>
      </c>
      <c r="I16" s="2">
        <v>4</v>
      </c>
      <c r="J16" s="2">
        <v>10</v>
      </c>
      <c r="K16" s="2">
        <v>10</v>
      </c>
      <c r="L16" s="2">
        <v>8</v>
      </c>
      <c r="M16" s="2">
        <v>5</v>
      </c>
      <c r="N16" s="2">
        <v>6</v>
      </c>
      <c r="O16" s="2">
        <v>6</v>
      </c>
      <c r="P16" s="2">
        <v>6</v>
      </c>
      <c r="Q16" s="2">
        <v>0</v>
      </c>
      <c r="R16" s="2">
        <v>0</v>
      </c>
      <c r="S16" s="2">
        <v>1</v>
      </c>
      <c r="T16" s="2">
        <v>2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</row>
    <row r="17" spans="1:29" x14ac:dyDescent="0.25">
      <c r="A17" s="1" t="s">
        <v>41</v>
      </c>
      <c r="B17" s="2" t="s">
        <v>30</v>
      </c>
      <c r="C17" s="2" t="s">
        <v>30</v>
      </c>
      <c r="D17" s="2">
        <v>2</v>
      </c>
      <c r="E17" s="2">
        <v>9</v>
      </c>
      <c r="F17" s="2">
        <v>25</v>
      </c>
      <c r="G17" s="2">
        <f>70+5</f>
        <v>75</v>
      </c>
      <c r="H17" s="2">
        <f>64+6</f>
        <v>70</v>
      </c>
      <c r="I17" s="2">
        <f>59+6</f>
        <v>65</v>
      </c>
      <c r="J17" s="2">
        <v>59</v>
      </c>
      <c r="K17" s="2">
        <f>78+2</f>
        <v>80</v>
      </c>
      <c r="L17" s="2">
        <f>72+2</f>
        <v>74</v>
      </c>
      <c r="M17" s="2">
        <f>98+7</f>
        <v>105</v>
      </c>
      <c r="N17" s="2">
        <f>99+7</f>
        <v>106</v>
      </c>
      <c r="O17" s="2">
        <f>113+7</f>
        <v>120</v>
      </c>
      <c r="P17" s="2">
        <f>137+3</f>
        <v>140</v>
      </c>
      <c r="Q17" s="2">
        <f>119+6</f>
        <v>125</v>
      </c>
      <c r="R17" s="2">
        <v>160</v>
      </c>
      <c r="S17" s="2">
        <v>165</v>
      </c>
      <c r="T17" s="2">
        <v>140</v>
      </c>
      <c r="U17" s="2">
        <v>156</v>
      </c>
      <c r="V17" s="2">
        <v>161</v>
      </c>
      <c r="W17" s="2">
        <v>119</v>
      </c>
      <c r="X17" s="2">
        <v>135</v>
      </c>
      <c r="Y17" s="2">
        <v>136</v>
      </c>
      <c r="Z17" s="2">
        <v>154</v>
      </c>
      <c r="AA17" s="2">
        <v>145</v>
      </c>
      <c r="AB17" s="2">
        <v>144</v>
      </c>
      <c r="AC17" s="2">
        <v>138</v>
      </c>
    </row>
    <row r="18" spans="1:29" x14ac:dyDescent="0.25">
      <c r="A18" s="1" t="s">
        <v>42</v>
      </c>
      <c r="B18" s="2">
        <v>61</v>
      </c>
      <c r="C18" s="2">
        <v>52</v>
      </c>
      <c r="D18" s="2">
        <v>59</v>
      </c>
      <c r="E18" s="2">
        <v>56</v>
      </c>
      <c r="F18" s="2">
        <v>47</v>
      </c>
      <c r="G18" s="2">
        <f>62+13</f>
        <v>75</v>
      </c>
      <c r="H18" s="2">
        <f>54+6</f>
        <v>60</v>
      </c>
      <c r="I18" s="2">
        <f>80+12</f>
        <v>92</v>
      </c>
      <c r="J18" s="2">
        <v>76</v>
      </c>
      <c r="K18" s="2">
        <f>78+3</f>
        <v>81</v>
      </c>
      <c r="L18" s="2">
        <f>52+3</f>
        <v>55</v>
      </c>
      <c r="M18" s="2">
        <f>60+4+1</f>
        <v>65</v>
      </c>
      <c r="N18" s="2">
        <f>53+2</f>
        <v>55</v>
      </c>
      <c r="O18" s="2">
        <f>61+10</f>
        <v>71</v>
      </c>
      <c r="P18" s="2">
        <v>78</v>
      </c>
      <c r="Q18" s="2">
        <f>76+10</f>
        <v>86</v>
      </c>
      <c r="R18" s="2">
        <f>81+11+1</f>
        <v>93</v>
      </c>
      <c r="S18" s="2">
        <v>95</v>
      </c>
      <c r="T18" s="2">
        <v>110</v>
      </c>
      <c r="U18" s="2">
        <v>125</v>
      </c>
      <c r="V18" s="2">
        <v>143</v>
      </c>
      <c r="W18" s="2">
        <v>139</v>
      </c>
      <c r="X18" s="2">
        <v>118</v>
      </c>
      <c r="Y18" s="2">
        <v>131</v>
      </c>
      <c r="Z18" s="2">
        <v>134</v>
      </c>
      <c r="AA18" s="2">
        <v>94</v>
      </c>
      <c r="AB18" s="2">
        <v>85</v>
      </c>
      <c r="AC18" s="2">
        <v>76</v>
      </c>
    </row>
    <row r="19" spans="1:29" x14ac:dyDescent="0.25">
      <c r="A19" s="1" t="s">
        <v>43</v>
      </c>
      <c r="B19" s="2">
        <v>117</v>
      </c>
      <c r="C19" s="2">
        <v>141</v>
      </c>
      <c r="D19" s="2">
        <v>132</v>
      </c>
      <c r="E19" s="2">
        <v>109</v>
      </c>
      <c r="F19" s="2">
        <v>125</v>
      </c>
      <c r="G19" s="2">
        <f>118+10</f>
        <v>128</v>
      </c>
      <c r="H19" s="2">
        <f>113+7</f>
        <v>120</v>
      </c>
      <c r="I19" s="2">
        <f>120+5</f>
        <v>125</v>
      </c>
      <c r="J19" s="2">
        <v>125</v>
      </c>
      <c r="K19" s="2">
        <f>114+6</f>
        <v>120</v>
      </c>
      <c r="L19" s="2">
        <f>107+4</f>
        <v>111</v>
      </c>
      <c r="M19" s="2">
        <f>101+8</f>
        <v>109</v>
      </c>
      <c r="N19" s="2">
        <f>97+7</f>
        <v>104</v>
      </c>
      <c r="O19" s="2">
        <f>106+1</f>
        <v>107</v>
      </c>
      <c r="P19" s="2">
        <v>126</v>
      </c>
      <c r="Q19" s="2">
        <f>128+4</f>
        <v>132</v>
      </c>
      <c r="R19" s="2">
        <v>99</v>
      </c>
      <c r="S19" s="2">
        <v>105</v>
      </c>
      <c r="T19" s="2">
        <v>111</v>
      </c>
      <c r="U19" s="2">
        <v>92</v>
      </c>
      <c r="V19" s="2">
        <v>95</v>
      </c>
      <c r="W19" s="2">
        <v>93</v>
      </c>
      <c r="X19" s="2">
        <v>82</v>
      </c>
      <c r="Y19" s="2">
        <v>69</v>
      </c>
      <c r="Z19" s="2">
        <v>84</v>
      </c>
      <c r="AA19" s="2">
        <v>80</v>
      </c>
      <c r="AB19" s="2">
        <v>75</v>
      </c>
      <c r="AC19" s="2">
        <v>81</v>
      </c>
    </row>
    <row r="20" spans="1:29" x14ac:dyDescent="0.25">
      <c r="A20" s="1" t="s">
        <v>44</v>
      </c>
      <c r="B20" s="2">
        <v>0</v>
      </c>
      <c r="C20" s="2">
        <v>4</v>
      </c>
      <c r="D20" s="2">
        <v>9</v>
      </c>
      <c r="E20" s="2">
        <v>8</v>
      </c>
      <c r="F20" s="2">
        <v>5</v>
      </c>
      <c r="G20" s="2">
        <f>7+2</f>
        <v>9</v>
      </c>
      <c r="H20" s="2">
        <f>4+2</f>
        <v>6</v>
      </c>
      <c r="I20" s="2">
        <f>5+2</f>
        <v>7</v>
      </c>
      <c r="J20" s="2">
        <v>2</v>
      </c>
      <c r="K20" s="2">
        <f>3+3</f>
        <v>6</v>
      </c>
      <c r="L20" s="2">
        <f>7+2</f>
        <v>9</v>
      </c>
      <c r="M20" s="2">
        <f>2+1</f>
        <v>3</v>
      </c>
      <c r="N20" s="2">
        <f>2+1</f>
        <v>3</v>
      </c>
      <c r="O20" s="2">
        <f>6+1</f>
        <v>7</v>
      </c>
      <c r="P20" s="2">
        <v>2</v>
      </c>
      <c r="Q20" s="2">
        <v>6</v>
      </c>
      <c r="R20" s="2">
        <v>5</v>
      </c>
      <c r="S20" s="2">
        <v>4</v>
      </c>
      <c r="T20" s="2">
        <v>4</v>
      </c>
      <c r="U20" s="2">
        <v>3</v>
      </c>
      <c r="V20" s="2">
        <v>13</v>
      </c>
      <c r="W20" s="2">
        <v>3</v>
      </c>
      <c r="X20" s="2">
        <v>8</v>
      </c>
      <c r="Y20" s="2">
        <v>6</v>
      </c>
      <c r="Z20" s="2">
        <v>3</v>
      </c>
      <c r="AA20" s="2">
        <v>7</v>
      </c>
      <c r="AB20" s="2">
        <v>4</v>
      </c>
      <c r="AC20" s="2">
        <v>1</v>
      </c>
    </row>
    <row r="21" spans="1:29" x14ac:dyDescent="0.25">
      <c r="A21" s="1" t="s">
        <v>45</v>
      </c>
      <c r="B21" s="2">
        <v>9</v>
      </c>
      <c r="C21" s="2">
        <v>3</v>
      </c>
      <c r="D21" s="2">
        <v>3</v>
      </c>
      <c r="E21" s="2">
        <v>3</v>
      </c>
      <c r="F21" s="2">
        <v>6</v>
      </c>
      <c r="G21" s="2">
        <f>3+2</f>
        <v>5</v>
      </c>
      <c r="H21" s="2">
        <v>2</v>
      </c>
      <c r="I21" s="2">
        <f>4+2</f>
        <v>6</v>
      </c>
      <c r="J21" s="2">
        <v>3</v>
      </c>
      <c r="K21" s="2">
        <f>1+2</f>
        <v>3</v>
      </c>
      <c r="L21" s="2">
        <v>5</v>
      </c>
      <c r="M21" s="2">
        <v>3</v>
      </c>
      <c r="N21" s="2">
        <v>1</v>
      </c>
      <c r="O21" s="2">
        <f>1+1</f>
        <v>2</v>
      </c>
      <c r="P21" s="2">
        <v>3</v>
      </c>
      <c r="Q21" s="2">
        <f>8+3</f>
        <v>11</v>
      </c>
      <c r="R21" s="2">
        <v>8</v>
      </c>
      <c r="S21" s="2">
        <v>6</v>
      </c>
      <c r="T21" s="2">
        <v>7</v>
      </c>
      <c r="U21" s="2">
        <v>3</v>
      </c>
      <c r="V21" s="2">
        <v>11</v>
      </c>
      <c r="W21" s="2">
        <v>4</v>
      </c>
      <c r="X21" s="2">
        <v>3</v>
      </c>
      <c r="Y21" s="2">
        <v>2</v>
      </c>
      <c r="Z21" s="34">
        <v>3</v>
      </c>
      <c r="AA21" s="2">
        <v>3</v>
      </c>
      <c r="AB21" s="2">
        <v>3</v>
      </c>
      <c r="AC21" s="2">
        <v>2</v>
      </c>
    </row>
    <row r="22" spans="1:29" x14ac:dyDescent="0.25">
      <c r="A22" s="1" t="s">
        <v>46</v>
      </c>
      <c r="B22" s="2">
        <v>0</v>
      </c>
      <c r="C22" s="2">
        <v>0</v>
      </c>
      <c r="D22" s="2">
        <v>0</v>
      </c>
      <c r="E22" s="2">
        <v>1</v>
      </c>
      <c r="F22" s="2">
        <v>3</v>
      </c>
      <c r="G22" s="2">
        <v>1</v>
      </c>
      <c r="H22" s="2">
        <v>0</v>
      </c>
      <c r="I22" s="2">
        <v>3</v>
      </c>
      <c r="J22" s="2">
        <v>0</v>
      </c>
      <c r="K22" s="2">
        <v>0</v>
      </c>
      <c r="L22" s="2">
        <f>1+1</f>
        <v>2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</row>
    <row r="23" spans="1:29" x14ac:dyDescent="0.25">
      <c r="A23" s="1" t="s">
        <v>99</v>
      </c>
      <c r="B23" s="2">
        <v>9</v>
      </c>
      <c r="C23" s="2">
        <v>12</v>
      </c>
      <c r="D23" s="2">
        <v>3</v>
      </c>
      <c r="E23" s="2">
        <v>3</v>
      </c>
      <c r="F23" s="2">
        <v>7</v>
      </c>
      <c r="G23" s="2">
        <v>12</v>
      </c>
      <c r="H23" s="2">
        <f>4+1</f>
        <v>5</v>
      </c>
      <c r="I23" s="2">
        <v>11</v>
      </c>
      <c r="J23" s="2">
        <v>7</v>
      </c>
      <c r="K23" s="2">
        <v>9</v>
      </c>
      <c r="L23" s="2">
        <v>3</v>
      </c>
      <c r="M23" s="2">
        <v>4</v>
      </c>
      <c r="N23" s="2">
        <v>1</v>
      </c>
      <c r="O23" s="2">
        <v>5</v>
      </c>
      <c r="P23" s="2">
        <v>3</v>
      </c>
      <c r="Q23" s="2">
        <v>2</v>
      </c>
      <c r="R23" s="2">
        <v>2</v>
      </c>
      <c r="S23" s="2">
        <v>4</v>
      </c>
      <c r="T23" s="2">
        <v>4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2</v>
      </c>
      <c r="AB23" s="2">
        <v>1</v>
      </c>
      <c r="AC23" s="2">
        <v>4</v>
      </c>
    </row>
    <row r="24" spans="1:29" x14ac:dyDescent="0.25">
      <c r="A24" s="17" t="s">
        <v>100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0</v>
      </c>
      <c r="U24" s="10">
        <v>4</v>
      </c>
      <c r="V24" s="2">
        <v>5</v>
      </c>
      <c r="W24" s="2">
        <v>6</v>
      </c>
      <c r="X24" s="2">
        <v>12</v>
      </c>
      <c r="Y24" s="2">
        <v>12</v>
      </c>
      <c r="Z24" s="2">
        <v>13</v>
      </c>
      <c r="AA24" s="2">
        <v>15</v>
      </c>
      <c r="AB24" s="2">
        <v>4</v>
      </c>
      <c r="AC24" s="2">
        <v>7</v>
      </c>
    </row>
    <row r="25" spans="1:29" x14ac:dyDescent="0.25">
      <c r="A25" s="1" t="s">
        <v>47</v>
      </c>
      <c r="B25" s="2">
        <v>54</v>
      </c>
      <c r="D25" s="2">
        <v>54</v>
      </c>
      <c r="E25" s="2">
        <v>41</v>
      </c>
      <c r="F25" s="2">
        <v>45</v>
      </c>
      <c r="G25" s="2">
        <f>51+3</f>
        <v>54</v>
      </c>
      <c r="H25" s="2">
        <f>36+1</f>
        <v>37</v>
      </c>
      <c r="I25" s="2">
        <f>43+2</f>
        <v>45</v>
      </c>
      <c r="J25" s="2">
        <v>45</v>
      </c>
      <c r="K25" s="2">
        <f>37+3</f>
        <v>40</v>
      </c>
      <c r="L25" s="2">
        <f>39+2</f>
        <v>41</v>
      </c>
      <c r="M25" s="2">
        <f>38+4</f>
        <v>42</v>
      </c>
      <c r="N25" s="2">
        <f>48+3</f>
        <v>51</v>
      </c>
      <c r="O25" s="2">
        <f>50+1</f>
        <v>51</v>
      </c>
      <c r="P25" s="2">
        <v>49</v>
      </c>
      <c r="Q25" s="2">
        <v>48</v>
      </c>
      <c r="R25" s="2">
        <f>39+3</f>
        <v>42</v>
      </c>
      <c r="S25" s="2">
        <v>49</v>
      </c>
      <c r="T25" s="2">
        <v>51</v>
      </c>
      <c r="U25" s="2">
        <v>39</v>
      </c>
      <c r="V25" s="2">
        <v>46</v>
      </c>
      <c r="W25" s="2">
        <v>28</v>
      </c>
      <c r="X25" s="2">
        <v>30</v>
      </c>
      <c r="Y25" s="2">
        <v>36</v>
      </c>
      <c r="Z25" s="2">
        <v>28</v>
      </c>
      <c r="AA25" s="2">
        <v>28</v>
      </c>
      <c r="AB25" s="2">
        <v>34</v>
      </c>
      <c r="AC25" s="2">
        <v>38</v>
      </c>
    </row>
    <row r="26" spans="1:29" x14ac:dyDescent="0.25">
      <c r="A26" s="1" t="s">
        <v>48</v>
      </c>
      <c r="G26" s="2">
        <v>0</v>
      </c>
      <c r="H26" s="2">
        <v>0</v>
      </c>
      <c r="I26" s="2">
        <v>0</v>
      </c>
      <c r="J26" s="2">
        <v>0</v>
      </c>
      <c r="K26" s="2">
        <v>2</v>
      </c>
      <c r="L26" s="2">
        <v>4</v>
      </c>
      <c r="M26" s="2">
        <v>0</v>
      </c>
      <c r="N26" s="2">
        <v>4</v>
      </c>
      <c r="O26" s="2">
        <v>3</v>
      </c>
      <c r="P26" s="2">
        <v>3</v>
      </c>
      <c r="Q26" s="2">
        <v>4</v>
      </c>
      <c r="R26" s="2">
        <v>5</v>
      </c>
      <c r="S26" s="2">
        <v>2</v>
      </c>
      <c r="T26" s="2">
        <v>3</v>
      </c>
      <c r="U26" s="2">
        <v>6</v>
      </c>
      <c r="V26" s="2">
        <v>4</v>
      </c>
      <c r="W26" s="2">
        <v>2</v>
      </c>
      <c r="X26" s="2">
        <v>0</v>
      </c>
      <c r="Y26" s="2">
        <v>0</v>
      </c>
      <c r="Z26" s="2">
        <v>3</v>
      </c>
      <c r="AA26" s="2">
        <v>3</v>
      </c>
      <c r="AB26" s="2">
        <v>1</v>
      </c>
      <c r="AC26" s="2">
        <v>0</v>
      </c>
    </row>
    <row r="27" spans="1:29" x14ac:dyDescent="0.25">
      <c r="A27" s="1" t="s">
        <v>49</v>
      </c>
      <c r="B27" s="2">
        <v>32</v>
      </c>
      <c r="C27" s="2">
        <v>32</v>
      </c>
      <c r="D27" s="2">
        <v>45</v>
      </c>
      <c r="E27" s="2">
        <v>33</v>
      </c>
      <c r="F27" s="2">
        <v>42</v>
      </c>
      <c r="G27" s="2">
        <v>35</v>
      </c>
      <c r="H27" s="2">
        <v>25</v>
      </c>
      <c r="I27" s="2">
        <v>34</v>
      </c>
      <c r="J27" s="2">
        <v>28</v>
      </c>
      <c r="K27" s="2">
        <v>40</v>
      </c>
      <c r="L27" s="2">
        <v>32</v>
      </c>
      <c r="M27" s="2">
        <v>46</v>
      </c>
      <c r="N27" s="2">
        <v>19</v>
      </c>
      <c r="O27" s="2">
        <v>31</v>
      </c>
      <c r="P27" s="2">
        <v>19</v>
      </c>
      <c r="Q27" s="2">
        <v>17</v>
      </c>
      <c r="R27" s="2">
        <v>21</v>
      </c>
      <c r="S27" s="2">
        <v>39</v>
      </c>
      <c r="T27" s="2">
        <v>39</v>
      </c>
      <c r="U27" s="2">
        <v>39</v>
      </c>
      <c r="V27" s="2">
        <v>37</v>
      </c>
      <c r="W27" s="2">
        <v>44</v>
      </c>
      <c r="X27" s="2">
        <v>36</v>
      </c>
      <c r="Y27" s="2">
        <v>32</v>
      </c>
      <c r="Z27" s="2">
        <v>49</v>
      </c>
      <c r="AA27" s="2">
        <v>22</v>
      </c>
      <c r="AB27" s="2">
        <v>26</v>
      </c>
      <c r="AC27" s="2">
        <v>20</v>
      </c>
    </row>
    <row r="28" spans="1:29" x14ac:dyDescent="0.25">
      <c r="A28" s="1" t="s">
        <v>50</v>
      </c>
      <c r="N28" s="2"/>
      <c r="Q28" s="2"/>
      <c r="R28" s="2"/>
      <c r="S28" s="2"/>
      <c r="T28" s="2">
        <v>0</v>
      </c>
      <c r="U28" s="2">
        <v>0</v>
      </c>
      <c r="V28" s="2">
        <v>2</v>
      </c>
      <c r="W28" s="2">
        <v>9</v>
      </c>
      <c r="X28" s="2">
        <v>14</v>
      </c>
      <c r="Y28" s="2">
        <v>21</v>
      </c>
      <c r="Z28" s="2">
        <v>32</v>
      </c>
      <c r="AA28" s="2">
        <v>34</v>
      </c>
      <c r="AB28" s="2">
        <v>28</v>
      </c>
      <c r="AC28" s="2">
        <v>29</v>
      </c>
    </row>
    <row r="29" spans="1:29" x14ac:dyDescent="0.25">
      <c r="A29" s="1" t="s">
        <v>51</v>
      </c>
      <c r="B29" s="2">
        <v>2</v>
      </c>
      <c r="C29" s="2">
        <v>3</v>
      </c>
      <c r="D29" s="2">
        <v>3</v>
      </c>
      <c r="E29" s="2">
        <v>3</v>
      </c>
      <c r="F29" s="2">
        <v>0</v>
      </c>
      <c r="G29" s="2">
        <v>1</v>
      </c>
      <c r="H29" s="2">
        <f>1+1</f>
        <v>2</v>
      </c>
      <c r="I29" s="2">
        <f>2+1</f>
        <v>3</v>
      </c>
      <c r="J29" s="2">
        <v>3</v>
      </c>
      <c r="K29" s="2">
        <v>1</v>
      </c>
      <c r="L29" s="2">
        <v>1</v>
      </c>
      <c r="M29" s="2">
        <v>3</v>
      </c>
      <c r="N29" s="2">
        <v>1</v>
      </c>
      <c r="O29" s="2">
        <v>1</v>
      </c>
      <c r="P29" s="2">
        <v>3</v>
      </c>
      <c r="Q29" s="2">
        <v>1</v>
      </c>
      <c r="R29" s="2">
        <v>3</v>
      </c>
      <c r="S29" s="2">
        <v>2</v>
      </c>
      <c r="T29" s="2">
        <v>4</v>
      </c>
      <c r="U29" s="2">
        <v>2</v>
      </c>
      <c r="V29" s="2">
        <v>1</v>
      </c>
      <c r="W29" s="2">
        <v>2</v>
      </c>
      <c r="X29" s="2">
        <v>1</v>
      </c>
      <c r="Y29" s="2">
        <v>2</v>
      </c>
      <c r="Z29" s="2">
        <v>0</v>
      </c>
      <c r="AA29" s="2">
        <v>3</v>
      </c>
      <c r="AB29" s="2">
        <v>0</v>
      </c>
      <c r="AC29" s="2">
        <v>0</v>
      </c>
    </row>
    <row r="30" spans="1:29" x14ac:dyDescent="0.25">
      <c r="A30" s="1" t="s">
        <v>52</v>
      </c>
      <c r="B30" s="2">
        <v>21</v>
      </c>
      <c r="C30" s="2">
        <v>21</v>
      </c>
      <c r="D30" s="2">
        <v>22</v>
      </c>
      <c r="E30" s="2">
        <v>9</v>
      </c>
      <c r="F30" s="2">
        <v>3</v>
      </c>
      <c r="G30" s="2">
        <v>4</v>
      </c>
      <c r="H30" s="2">
        <v>4</v>
      </c>
      <c r="I30" s="2">
        <v>6</v>
      </c>
      <c r="J30" s="2">
        <v>9</v>
      </c>
      <c r="K30" s="2">
        <v>3</v>
      </c>
      <c r="L30" s="2">
        <f>7+2</f>
        <v>9</v>
      </c>
      <c r="M30" s="2">
        <v>11</v>
      </c>
      <c r="N30" s="2">
        <f>5+1</f>
        <v>6</v>
      </c>
      <c r="O30" s="2">
        <v>3</v>
      </c>
      <c r="P30" s="2">
        <v>5</v>
      </c>
      <c r="Q30" s="2">
        <v>4</v>
      </c>
      <c r="R30" s="2">
        <v>8</v>
      </c>
      <c r="S30" s="2">
        <v>6</v>
      </c>
      <c r="T30" s="2">
        <v>3</v>
      </c>
      <c r="U30" s="2">
        <v>0</v>
      </c>
      <c r="V30" s="2">
        <v>0</v>
      </c>
      <c r="W30" s="2">
        <v>2</v>
      </c>
      <c r="X30" s="2">
        <v>5</v>
      </c>
      <c r="Y30" s="2">
        <v>5</v>
      </c>
      <c r="Z30" s="2">
        <v>4</v>
      </c>
      <c r="AA30" s="2">
        <v>4</v>
      </c>
      <c r="AB30" s="2">
        <v>5</v>
      </c>
      <c r="AC30" s="2">
        <v>2</v>
      </c>
    </row>
    <row r="31" spans="1:29" x14ac:dyDescent="0.25">
      <c r="A31" s="1" t="s">
        <v>53</v>
      </c>
      <c r="B31" s="2" t="s">
        <v>30</v>
      </c>
      <c r="C31" s="2" t="s">
        <v>30</v>
      </c>
      <c r="D31" s="2" t="s">
        <v>30</v>
      </c>
      <c r="E31" s="2">
        <v>2</v>
      </c>
      <c r="F31" s="2">
        <v>13</v>
      </c>
      <c r="G31" s="2">
        <v>9</v>
      </c>
      <c r="H31" s="2">
        <v>7</v>
      </c>
      <c r="I31" s="2">
        <v>14</v>
      </c>
      <c r="J31" s="2">
        <v>13</v>
      </c>
      <c r="K31" s="2">
        <f>12+1</f>
        <v>13</v>
      </c>
      <c r="L31" s="2">
        <f>17+1</f>
        <v>18</v>
      </c>
      <c r="M31" s="2">
        <v>12</v>
      </c>
      <c r="N31" s="2">
        <v>7</v>
      </c>
      <c r="O31" s="2">
        <f>10+1</f>
        <v>11</v>
      </c>
      <c r="P31" s="7">
        <v>4</v>
      </c>
      <c r="Q31" s="2">
        <v>4</v>
      </c>
      <c r="R31" s="2">
        <v>2</v>
      </c>
      <c r="S31" s="2">
        <v>6</v>
      </c>
      <c r="T31" s="2">
        <v>4</v>
      </c>
      <c r="U31" s="2">
        <v>0</v>
      </c>
      <c r="V31" s="2">
        <v>2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</row>
    <row r="32" spans="1:29" x14ac:dyDescent="0.25">
      <c r="A32" s="1" t="s">
        <v>54</v>
      </c>
      <c r="B32" s="2">
        <v>18</v>
      </c>
      <c r="C32" s="2">
        <v>5</v>
      </c>
      <c r="D32" s="2">
        <v>10</v>
      </c>
      <c r="E32" s="2">
        <v>16</v>
      </c>
      <c r="F32" s="2">
        <v>22</v>
      </c>
      <c r="G32" s="2">
        <f>12+1+1</f>
        <v>14</v>
      </c>
      <c r="H32" s="2">
        <f>11+4</f>
        <v>15</v>
      </c>
      <c r="I32" s="2">
        <f>17+4</f>
        <v>21</v>
      </c>
      <c r="J32" s="2">
        <v>18</v>
      </c>
      <c r="K32" s="2">
        <f>9+2</f>
        <v>11</v>
      </c>
      <c r="L32" s="2">
        <f>15+4</f>
        <v>19</v>
      </c>
      <c r="M32" s="2">
        <f>5+3</f>
        <v>8</v>
      </c>
      <c r="N32" s="2">
        <f>9+2</f>
        <v>11</v>
      </c>
      <c r="O32" s="2">
        <f>4+1</f>
        <v>5</v>
      </c>
      <c r="P32" s="2">
        <v>14</v>
      </c>
      <c r="Q32" s="2">
        <f>12+5</f>
        <v>17</v>
      </c>
      <c r="R32" s="2">
        <f>16+1</f>
        <v>17</v>
      </c>
      <c r="S32" s="2">
        <v>11</v>
      </c>
      <c r="T32" s="2">
        <v>12</v>
      </c>
      <c r="U32" s="2">
        <v>15</v>
      </c>
      <c r="V32" s="2">
        <v>11</v>
      </c>
      <c r="W32" s="2">
        <v>8</v>
      </c>
      <c r="X32" s="2">
        <v>10</v>
      </c>
      <c r="Y32" s="2">
        <v>9</v>
      </c>
      <c r="Z32" s="2">
        <v>10</v>
      </c>
      <c r="AA32" s="2">
        <v>9</v>
      </c>
      <c r="AB32" s="2">
        <v>7</v>
      </c>
      <c r="AC32" s="2">
        <v>3</v>
      </c>
    </row>
    <row r="33" spans="1:29" x14ac:dyDescent="0.25">
      <c r="A33" s="1" t="s">
        <v>55</v>
      </c>
      <c r="B33" s="2">
        <v>3</v>
      </c>
      <c r="C33" s="2">
        <v>6</v>
      </c>
      <c r="D33" s="2">
        <v>4</v>
      </c>
      <c r="E33" s="2">
        <v>13</v>
      </c>
      <c r="F33" s="2">
        <v>4</v>
      </c>
      <c r="G33" s="2">
        <f>9+1</f>
        <v>10</v>
      </c>
      <c r="H33" s="2">
        <v>8</v>
      </c>
      <c r="I33" s="2">
        <v>10</v>
      </c>
      <c r="J33" s="2">
        <v>6</v>
      </c>
      <c r="K33" s="2">
        <v>5</v>
      </c>
      <c r="L33" s="2">
        <f>9+1</f>
        <v>10</v>
      </c>
      <c r="M33" s="2">
        <f>9+1</f>
        <v>10</v>
      </c>
      <c r="N33" s="2">
        <v>6</v>
      </c>
      <c r="O33" s="2">
        <v>6</v>
      </c>
      <c r="P33" s="2">
        <v>6</v>
      </c>
      <c r="Q33" s="2">
        <v>7</v>
      </c>
      <c r="R33" s="2">
        <v>8</v>
      </c>
      <c r="S33" s="2">
        <v>16</v>
      </c>
      <c r="T33" s="2">
        <v>10</v>
      </c>
      <c r="U33" s="2">
        <v>13</v>
      </c>
      <c r="V33" s="2">
        <v>9</v>
      </c>
      <c r="W33" s="2">
        <v>12</v>
      </c>
      <c r="X33" s="2">
        <v>13</v>
      </c>
      <c r="Y33" s="2">
        <v>13</v>
      </c>
      <c r="Z33" s="2">
        <v>12</v>
      </c>
      <c r="AA33" s="2">
        <v>8</v>
      </c>
      <c r="AB33" s="2">
        <v>7</v>
      </c>
      <c r="AC33" s="2">
        <v>13</v>
      </c>
    </row>
    <row r="34" spans="1:29" x14ac:dyDescent="0.25">
      <c r="A34" s="1" t="s">
        <v>56</v>
      </c>
      <c r="B34" s="2">
        <v>11</v>
      </c>
      <c r="C34" s="2">
        <v>12</v>
      </c>
      <c r="D34" s="2">
        <v>19</v>
      </c>
      <c r="E34" s="2">
        <v>10</v>
      </c>
      <c r="F34" s="2">
        <v>11</v>
      </c>
      <c r="G34" s="2">
        <f>12+5</f>
        <v>17</v>
      </c>
      <c r="H34" s="2">
        <f>6+3</f>
        <v>9</v>
      </c>
      <c r="I34" s="2">
        <f>6+4+1</f>
        <v>11</v>
      </c>
      <c r="J34" s="2">
        <v>17</v>
      </c>
      <c r="K34" s="2">
        <f>14+4</f>
        <v>18</v>
      </c>
      <c r="L34" s="2">
        <f>14+3</f>
        <v>17</v>
      </c>
      <c r="M34" s="2">
        <f>10+6</f>
        <v>16</v>
      </c>
      <c r="N34" s="2">
        <f>17+3</f>
        <v>20</v>
      </c>
      <c r="O34" s="2">
        <f>12+7</f>
        <v>19</v>
      </c>
      <c r="P34" s="2">
        <v>14</v>
      </c>
      <c r="Q34" s="2">
        <f>14+5</f>
        <v>19</v>
      </c>
      <c r="R34" s="2">
        <v>21</v>
      </c>
      <c r="S34" s="2">
        <v>14</v>
      </c>
      <c r="T34" s="2">
        <v>10</v>
      </c>
      <c r="U34" s="2">
        <v>18</v>
      </c>
      <c r="V34" s="2">
        <v>16</v>
      </c>
      <c r="W34" s="2">
        <v>20</v>
      </c>
      <c r="X34" s="2">
        <v>11</v>
      </c>
      <c r="Y34" s="2">
        <v>18</v>
      </c>
      <c r="Z34" s="2">
        <v>9</v>
      </c>
      <c r="AA34" s="2">
        <v>14</v>
      </c>
      <c r="AB34" s="2">
        <v>6</v>
      </c>
      <c r="AC34" s="2">
        <v>12</v>
      </c>
    </row>
    <row r="35" spans="1:29" x14ac:dyDescent="0.25">
      <c r="A35" s="1" t="s">
        <v>57</v>
      </c>
      <c r="B35" s="2">
        <v>1</v>
      </c>
      <c r="C35" s="2">
        <v>3</v>
      </c>
      <c r="D35" s="2">
        <v>1</v>
      </c>
      <c r="E35" s="2">
        <v>1</v>
      </c>
      <c r="F35" s="2">
        <v>2</v>
      </c>
      <c r="G35" s="2">
        <v>1</v>
      </c>
      <c r="H35" s="2">
        <v>3</v>
      </c>
      <c r="I35" s="2">
        <v>3</v>
      </c>
      <c r="J35" s="2">
        <v>1</v>
      </c>
      <c r="K35" s="2">
        <v>2</v>
      </c>
      <c r="L35" s="2">
        <v>1</v>
      </c>
      <c r="M35" s="2">
        <v>0</v>
      </c>
      <c r="N35" s="2">
        <v>4</v>
      </c>
      <c r="O35" s="2">
        <v>2</v>
      </c>
      <c r="P35" s="2">
        <v>4</v>
      </c>
      <c r="Q35" s="2">
        <v>3</v>
      </c>
      <c r="R35" s="2">
        <v>7</v>
      </c>
      <c r="S35" s="2">
        <v>6</v>
      </c>
      <c r="T35" s="2">
        <v>4</v>
      </c>
      <c r="U35" s="2">
        <v>3</v>
      </c>
      <c r="V35" s="2">
        <v>4</v>
      </c>
      <c r="W35" s="2">
        <v>6</v>
      </c>
      <c r="X35" s="2">
        <v>0</v>
      </c>
      <c r="Y35" s="2">
        <v>3</v>
      </c>
      <c r="Z35" s="2">
        <v>5</v>
      </c>
      <c r="AA35" s="2">
        <v>3</v>
      </c>
      <c r="AB35" s="2">
        <v>2</v>
      </c>
      <c r="AC35" s="2">
        <v>3</v>
      </c>
    </row>
    <row r="36" spans="1:29" x14ac:dyDescent="0.25">
      <c r="A36" s="1" t="s">
        <v>58</v>
      </c>
      <c r="B36" s="2">
        <v>92</v>
      </c>
      <c r="C36" s="2">
        <v>67</v>
      </c>
      <c r="D36" s="2">
        <v>71</v>
      </c>
      <c r="E36" s="2">
        <v>77</v>
      </c>
      <c r="F36" s="2">
        <v>61</v>
      </c>
      <c r="G36" s="2">
        <f>68+9</f>
        <v>77</v>
      </c>
      <c r="H36" s="2">
        <f>68+10</f>
        <v>78</v>
      </c>
      <c r="I36" s="2">
        <f>81+9</f>
        <v>90</v>
      </c>
      <c r="J36" s="2">
        <v>94</v>
      </c>
      <c r="K36" s="2">
        <f>81+1+12</f>
        <v>94</v>
      </c>
      <c r="L36" s="2">
        <f>83+9</f>
        <v>92</v>
      </c>
      <c r="M36" s="2">
        <f>68+6</f>
        <v>74</v>
      </c>
      <c r="N36" s="2">
        <f>72+7</f>
        <v>79</v>
      </c>
      <c r="O36" s="2">
        <f>64+7</f>
        <v>71</v>
      </c>
      <c r="P36" s="2">
        <v>79</v>
      </c>
      <c r="Q36" s="2">
        <f>78+5</f>
        <v>83</v>
      </c>
      <c r="R36" s="2">
        <f>73+2</f>
        <v>75</v>
      </c>
      <c r="S36" s="2">
        <v>78</v>
      </c>
      <c r="T36" s="2">
        <v>93</v>
      </c>
      <c r="U36" s="2">
        <v>70</v>
      </c>
      <c r="V36" s="2">
        <v>86</v>
      </c>
      <c r="W36" s="2">
        <v>78</v>
      </c>
      <c r="X36" s="2">
        <v>67</v>
      </c>
      <c r="Y36" s="2">
        <v>59</v>
      </c>
      <c r="Z36" s="2">
        <v>71</v>
      </c>
      <c r="AA36" s="2">
        <v>72</v>
      </c>
      <c r="AB36" s="2">
        <v>54</v>
      </c>
      <c r="AC36" s="2">
        <v>56</v>
      </c>
    </row>
    <row r="37" spans="1:29" x14ac:dyDescent="0.25">
      <c r="A37" s="1" t="s">
        <v>59</v>
      </c>
      <c r="B37" s="2">
        <v>163</v>
      </c>
      <c r="C37" s="2">
        <v>158</v>
      </c>
      <c r="D37" s="2">
        <v>149</v>
      </c>
      <c r="E37" s="2">
        <v>165</v>
      </c>
      <c r="F37" s="2">
        <v>137</v>
      </c>
      <c r="G37" s="2">
        <f>147+11</f>
        <v>158</v>
      </c>
      <c r="H37" s="2">
        <f>162+8</f>
        <v>170</v>
      </c>
      <c r="I37" s="2">
        <f>161+9</f>
        <v>170</v>
      </c>
      <c r="J37" s="2">
        <v>172</v>
      </c>
      <c r="K37" s="2">
        <f>164+12+11</f>
        <v>187</v>
      </c>
      <c r="L37" s="2">
        <f>145+7</f>
        <v>152</v>
      </c>
      <c r="M37" s="2">
        <f>128+6+7</f>
        <v>141</v>
      </c>
      <c r="N37" s="2">
        <f>148+16+8</f>
        <v>172</v>
      </c>
      <c r="O37" s="2">
        <f>142+19+13</f>
        <v>174</v>
      </c>
      <c r="P37" s="2">
        <f>167+19</f>
        <v>186</v>
      </c>
      <c r="Q37" s="2">
        <f>191+10+16</f>
        <v>217</v>
      </c>
      <c r="R37" s="2">
        <f>215+3+1</f>
        <v>219</v>
      </c>
      <c r="S37" s="2">
        <v>217</v>
      </c>
      <c r="T37" s="2">
        <v>266</v>
      </c>
      <c r="U37" s="2">
        <v>262</v>
      </c>
      <c r="V37" s="2">
        <v>264</v>
      </c>
      <c r="W37" s="2">
        <v>250</v>
      </c>
      <c r="X37" s="2">
        <v>259</v>
      </c>
      <c r="Y37" s="2">
        <v>222</v>
      </c>
      <c r="Z37" s="2">
        <v>293</v>
      </c>
      <c r="AA37" s="2">
        <v>273</v>
      </c>
      <c r="AB37" s="2">
        <v>251</v>
      </c>
      <c r="AC37" s="2">
        <v>268</v>
      </c>
    </row>
    <row r="38" spans="1:29" x14ac:dyDescent="0.25">
      <c r="A38" s="1" t="s">
        <v>60</v>
      </c>
      <c r="B38" s="2">
        <v>34</v>
      </c>
      <c r="C38" s="2">
        <v>46</v>
      </c>
      <c r="D38" s="2">
        <v>45</v>
      </c>
      <c r="E38" s="2">
        <v>50</v>
      </c>
      <c r="F38" s="2">
        <v>35</v>
      </c>
      <c r="G38" s="2">
        <f>50+1</f>
        <v>51</v>
      </c>
      <c r="H38" s="2">
        <f>41+1</f>
        <v>42</v>
      </c>
      <c r="I38" s="2">
        <f>45+1</f>
        <v>46</v>
      </c>
      <c r="J38" s="2">
        <v>49</v>
      </c>
      <c r="K38" s="2">
        <v>46</v>
      </c>
      <c r="L38" s="2">
        <v>30</v>
      </c>
      <c r="M38" s="2">
        <f>46+3</f>
        <v>49</v>
      </c>
      <c r="N38" s="2">
        <f>35+2+1</f>
        <v>38</v>
      </c>
      <c r="O38" s="2">
        <f>36+2+3</f>
        <v>41</v>
      </c>
      <c r="P38" s="2">
        <v>46</v>
      </c>
      <c r="Q38" s="2">
        <f>54+1+1</f>
        <v>56</v>
      </c>
      <c r="R38" s="2">
        <v>60</v>
      </c>
      <c r="S38" s="2">
        <v>52</v>
      </c>
      <c r="T38" s="2">
        <v>60</v>
      </c>
      <c r="U38" s="2">
        <v>44</v>
      </c>
      <c r="V38" s="2">
        <v>45</v>
      </c>
      <c r="W38" s="2">
        <v>26</v>
      </c>
      <c r="X38" s="2">
        <v>36</v>
      </c>
      <c r="Y38" s="2">
        <v>37</v>
      </c>
      <c r="Z38" s="2">
        <v>30</v>
      </c>
      <c r="AA38" s="2">
        <v>22</v>
      </c>
      <c r="AB38" s="2">
        <v>17</v>
      </c>
      <c r="AC38" s="2">
        <v>11</v>
      </c>
    </row>
    <row r="39" spans="1:29" x14ac:dyDescent="0.25">
      <c r="A39" s="1" t="s">
        <v>61</v>
      </c>
      <c r="B39" s="2">
        <v>1</v>
      </c>
      <c r="C39" s="2">
        <v>1</v>
      </c>
      <c r="D39" s="2">
        <v>0</v>
      </c>
      <c r="E39" s="2">
        <v>3</v>
      </c>
      <c r="F39" s="2">
        <v>0</v>
      </c>
      <c r="G39" s="2">
        <v>1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</row>
    <row r="40" spans="1:29" x14ac:dyDescent="0.25">
      <c r="A40" s="1" t="s">
        <v>62</v>
      </c>
      <c r="B40" s="2">
        <v>81</v>
      </c>
      <c r="C40" s="2">
        <v>94</v>
      </c>
      <c r="D40" s="2">
        <v>86</v>
      </c>
      <c r="E40" s="2">
        <v>85</v>
      </c>
      <c r="F40" s="2">
        <v>75</v>
      </c>
      <c r="G40" s="2">
        <f>57+19</f>
        <v>76</v>
      </c>
      <c r="H40" s="2">
        <f>49+14</f>
        <v>63</v>
      </c>
      <c r="I40" s="2">
        <f>58+15</f>
        <v>73</v>
      </c>
      <c r="J40" s="2">
        <v>87</v>
      </c>
      <c r="K40" s="2">
        <f>59+17</f>
        <v>76</v>
      </c>
      <c r="L40" s="2">
        <f>70+16</f>
        <v>86</v>
      </c>
      <c r="M40" s="2">
        <f>57+23</f>
        <v>80</v>
      </c>
      <c r="N40" s="2">
        <f>62+19+1</f>
        <v>82</v>
      </c>
      <c r="O40" s="2">
        <f>50+23</f>
        <v>73</v>
      </c>
      <c r="P40" s="2">
        <v>83</v>
      </c>
      <c r="Q40" s="2">
        <f>58+17</f>
        <v>75</v>
      </c>
      <c r="R40" s="2">
        <f>94+2+1</f>
        <v>97</v>
      </c>
      <c r="S40" s="2">
        <v>114</v>
      </c>
      <c r="T40" s="2">
        <v>97</v>
      </c>
      <c r="U40" s="2">
        <v>93</v>
      </c>
      <c r="V40" s="2">
        <v>91</v>
      </c>
      <c r="W40" s="2">
        <v>82</v>
      </c>
      <c r="X40" s="2">
        <v>59</v>
      </c>
      <c r="Y40" s="2">
        <v>69</v>
      </c>
      <c r="Z40" s="2">
        <v>61</v>
      </c>
      <c r="AA40" s="2">
        <v>48</v>
      </c>
      <c r="AB40" s="2">
        <v>51</v>
      </c>
      <c r="AC40" s="2">
        <v>42</v>
      </c>
    </row>
    <row r="41" spans="1:29" x14ac:dyDescent="0.25">
      <c r="A41" s="1" t="s">
        <v>63</v>
      </c>
      <c r="G41" s="2">
        <v>7</v>
      </c>
      <c r="H41" s="2">
        <v>17</v>
      </c>
      <c r="I41" s="2">
        <v>16</v>
      </c>
      <c r="J41" s="2">
        <v>13</v>
      </c>
      <c r="K41" s="2">
        <f>15+1</f>
        <v>16</v>
      </c>
      <c r="L41" s="2">
        <v>18</v>
      </c>
      <c r="M41" s="2">
        <v>6</v>
      </c>
      <c r="N41" s="2">
        <v>3</v>
      </c>
      <c r="O41" s="2">
        <v>12</v>
      </c>
      <c r="P41" s="2">
        <v>7</v>
      </c>
      <c r="Q41" s="2">
        <v>10</v>
      </c>
      <c r="R41" s="2">
        <v>14</v>
      </c>
      <c r="S41" s="2">
        <v>16</v>
      </c>
      <c r="T41" s="2">
        <v>12</v>
      </c>
      <c r="U41" s="2">
        <v>15</v>
      </c>
      <c r="V41" s="2">
        <v>13</v>
      </c>
      <c r="W41" s="2">
        <v>13</v>
      </c>
      <c r="X41" s="2">
        <v>13</v>
      </c>
      <c r="Y41" s="2">
        <v>12</v>
      </c>
      <c r="Z41" s="2">
        <v>6</v>
      </c>
      <c r="AA41" s="2">
        <v>14</v>
      </c>
      <c r="AB41" s="2">
        <v>11</v>
      </c>
      <c r="AC41" s="2">
        <v>11</v>
      </c>
    </row>
    <row r="42" spans="1:29" x14ac:dyDescent="0.25">
      <c r="A42" s="1" t="s">
        <v>64</v>
      </c>
      <c r="B42" s="2">
        <v>11</v>
      </c>
      <c r="C42" s="2">
        <v>14</v>
      </c>
      <c r="D42" s="2">
        <v>16</v>
      </c>
      <c r="E42" s="2">
        <v>10</v>
      </c>
      <c r="F42" s="2">
        <v>6</v>
      </c>
      <c r="G42" s="2">
        <f>5+2</f>
        <v>7</v>
      </c>
      <c r="H42" s="2">
        <f>7+4</f>
        <v>11</v>
      </c>
      <c r="I42" s="2">
        <v>1</v>
      </c>
      <c r="J42" s="2">
        <v>2</v>
      </c>
      <c r="K42" s="2">
        <f>4+2</f>
        <v>6</v>
      </c>
      <c r="L42" s="2">
        <f>7+1</f>
        <v>8</v>
      </c>
      <c r="M42" s="2">
        <f>10+1</f>
        <v>11</v>
      </c>
      <c r="N42" s="2">
        <f>5+2</f>
        <v>7</v>
      </c>
      <c r="O42" s="2">
        <f>8+1</f>
        <v>9</v>
      </c>
      <c r="P42" s="2">
        <v>6</v>
      </c>
      <c r="Q42" s="2">
        <f>7+2</f>
        <v>9</v>
      </c>
      <c r="R42" s="2">
        <v>5</v>
      </c>
      <c r="S42" s="2">
        <v>6</v>
      </c>
      <c r="T42" s="2">
        <v>8</v>
      </c>
      <c r="U42" s="2">
        <v>11</v>
      </c>
      <c r="V42" s="2">
        <v>13</v>
      </c>
      <c r="W42" s="2">
        <v>12</v>
      </c>
      <c r="X42" s="2">
        <v>8</v>
      </c>
      <c r="Y42" s="2">
        <v>11</v>
      </c>
      <c r="Z42" s="2">
        <v>14</v>
      </c>
      <c r="AA42" s="2">
        <v>13</v>
      </c>
      <c r="AB42" s="2">
        <v>7</v>
      </c>
      <c r="AC42" s="2">
        <v>16</v>
      </c>
    </row>
    <row r="43" spans="1:29" x14ac:dyDescent="0.25">
      <c r="A43" s="1" t="s">
        <v>65</v>
      </c>
      <c r="B43" s="2">
        <v>16</v>
      </c>
      <c r="C43" s="2">
        <v>7</v>
      </c>
      <c r="D43" s="2">
        <v>10</v>
      </c>
      <c r="E43" s="2">
        <v>10</v>
      </c>
      <c r="F43" s="2">
        <v>14</v>
      </c>
      <c r="G43" s="2">
        <f>10+1</f>
        <v>11</v>
      </c>
      <c r="H43" s="2">
        <f>5+1</f>
        <v>6</v>
      </c>
      <c r="I43" s="2">
        <f>11+1</f>
        <v>12</v>
      </c>
      <c r="J43" s="2">
        <v>11</v>
      </c>
      <c r="K43" s="2">
        <f>7+4</f>
        <v>11</v>
      </c>
      <c r="L43" s="2">
        <f>5+2</f>
        <v>7</v>
      </c>
      <c r="M43" s="2">
        <f>4+1</f>
        <v>5</v>
      </c>
      <c r="N43" s="2">
        <f>4+2</f>
        <v>6</v>
      </c>
      <c r="O43" s="2">
        <f>4+1</f>
        <v>5</v>
      </c>
      <c r="P43" s="2">
        <v>3</v>
      </c>
      <c r="Q43" s="2">
        <f>1+2</f>
        <v>3</v>
      </c>
      <c r="R43" s="2">
        <f>1+2</f>
        <v>3</v>
      </c>
      <c r="S43" s="2">
        <v>4</v>
      </c>
      <c r="T43" s="2">
        <v>2</v>
      </c>
      <c r="U43" s="2">
        <v>3</v>
      </c>
      <c r="V43" s="2">
        <v>0</v>
      </c>
      <c r="W43" s="2">
        <v>1</v>
      </c>
      <c r="X43" s="2">
        <v>1</v>
      </c>
      <c r="Y43" s="2">
        <v>1</v>
      </c>
      <c r="Z43" s="2">
        <v>1</v>
      </c>
      <c r="AA43" s="2">
        <v>0</v>
      </c>
      <c r="AB43" s="2">
        <v>1</v>
      </c>
      <c r="AC43" s="2">
        <v>1</v>
      </c>
    </row>
    <row r="44" spans="1:29" x14ac:dyDescent="0.25">
      <c r="A44" s="23" t="s">
        <v>66</v>
      </c>
      <c r="B44" s="15">
        <f>16+452+307+114</f>
        <v>889</v>
      </c>
      <c r="C44" s="15">
        <f>7+446+324+109</f>
        <v>886</v>
      </c>
      <c r="D44" s="15">
        <f>10+429+340+126</f>
        <v>905</v>
      </c>
      <c r="E44" s="15">
        <f>10+447+327+124</f>
        <v>908</v>
      </c>
      <c r="F44" s="15">
        <v>714</v>
      </c>
      <c r="G44" s="15">
        <v>892</v>
      </c>
      <c r="H44" s="15">
        <v>814</v>
      </c>
      <c r="I44" s="15">
        <v>889</v>
      </c>
      <c r="J44" s="16">
        <v>862</v>
      </c>
      <c r="K44" s="15">
        <f>SUM(K5+K6+K9+K7+K8+K11+K12+K17+K18+K19+K20+K21+K22+K25+K29+K33+K34+K35+K36+K37+K38+K39+K40+K32+K41+K42+K43+K26)</f>
        <v>894</v>
      </c>
      <c r="L44" s="15">
        <f>SUM(L5+L6+L9+L7+L8+L11+L12+L17+L18+L19+L20+L21+L22+L25+L29+L33+L34+L35+L36+L37+L38+L39+L40+L32+L41+L42+L43+L26)</f>
        <v>818</v>
      </c>
      <c r="M44" s="15">
        <f t="shared" ref="M44:AC44" si="0">SUM(M5:M43)</f>
        <v>953</v>
      </c>
      <c r="N44" s="15">
        <f t="shared" si="0"/>
        <v>932</v>
      </c>
      <c r="O44" s="15">
        <f t="shared" si="0"/>
        <v>963</v>
      </c>
      <c r="P44" s="15">
        <f t="shared" si="0"/>
        <v>1010</v>
      </c>
      <c r="Q44" s="15">
        <f t="shared" si="0"/>
        <v>1073</v>
      </c>
      <c r="R44" s="15">
        <f t="shared" si="0"/>
        <v>1096</v>
      </c>
      <c r="S44" s="15">
        <f t="shared" si="0"/>
        <v>1136</v>
      </c>
      <c r="T44" s="15">
        <f t="shared" si="0"/>
        <v>1180</v>
      </c>
      <c r="U44" s="15">
        <f t="shared" si="0"/>
        <v>1178</v>
      </c>
      <c r="V44" s="15">
        <f t="shared" si="0"/>
        <v>1242</v>
      </c>
      <c r="W44" s="15">
        <f t="shared" si="0"/>
        <v>1140</v>
      </c>
      <c r="X44" s="15">
        <f t="shared" si="0"/>
        <v>1111</v>
      </c>
      <c r="Y44" s="15">
        <f t="shared" si="0"/>
        <v>1100</v>
      </c>
      <c r="Z44" s="15">
        <f t="shared" si="0"/>
        <v>1210</v>
      </c>
      <c r="AA44" s="15">
        <f t="shared" si="0"/>
        <v>1094</v>
      </c>
      <c r="AB44" s="15">
        <f t="shared" si="0"/>
        <v>956</v>
      </c>
      <c r="AC44" s="15">
        <f t="shared" si="0"/>
        <v>965</v>
      </c>
    </row>
    <row r="45" spans="1:29" x14ac:dyDescent="0.25">
      <c r="A45" s="20" t="s">
        <v>67</v>
      </c>
      <c r="E45" s="5"/>
      <c r="F45" s="6"/>
      <c r="N45" s="2"/>
      <c r="R45" s="7"/>
      <c r="X45" s="2"/>
    </row>
    <row r="46" spans="1:29" x14ac:dyDescent="0.25">
      <c r="A46" s="1" t="s">
        <v>68</v>
      </c>
      <c r="B46" s="2">
        <v>3</v>
      </c>
      <c r="C46" s="2">
        <v>3</v>
      </c>
      <c r="D46" s="2">
        <v>6</v>
      </c>
      <c r="E46" s="2">
        <v>10</v>
      </c>
      <c r="F46" s="2">
        <v>11</v>
      </c>
      <c r="G46" s="2">
        <v>14</v>
      </c>
      <c r="H46" s="2">
        <v>15</v>
      </c>
      <c r="I46" s="2">
        <v>18</v>
      </c>
      <c r="J46" s="2">
        <v>11</v>
      </c>
      <c r="K46" s="2">
        <v>28</v>
      </c>
      <c r="L46" s="2">
        <v>11</v>
      </c>
      <c r="M46" s="2">
        <v>11</v>
      </c>
      <c r="N46" s="2">
        <v>24</v>
      </c>
      <c r="O46" s="2">
        <v>22</v>
      </c>
      <c r="P46" s="2">
        <v>27</v>
      </c>
      <c r="Q46" s="2">
        <v>30</v>
      </c>
      <c r="R46" s="2">
        <v>46</v>
      </c>
      <c r="S46" s="2">
        <v>24</v>
      </c>
      <c r="T46" s="2">
        <v>28</v>
      </c>
      <c r="U46" s="2">
        <v>27</v>
      </c>
      <c r="V46" s="2">
        <v>16</v>
      </c>
      <c r="W46" s="2">
        <v>25</v>
      </c>
      <c r="X46" s="2">
        <v>18</v>
      </c>
      <c r="Y46" s="2">
        <v>24</v>
      </c>
      <c r="Z46" s="2">
        <v>28</v>
      </c>
      <c r="AA46" s="2">
        <v>23</v>
      </c>
      <c r="AB46" s="2">
        <v>16</v>
      </c>
      <c r="AC46" s="2">
        <v>19</v>
      </c>
    </row>
    <row r="47" spans="1:29" x14ac:dyDescent="0.25">
      <c r="A47" s="1" t="s">
        <v>69</v>
      </c>
      <c r="B47" s="2">
        <v>60</v>
      </c>
      <c r="C47" s="2">
        <v>52</v>
      </c>
      <c r="D47" s="2">
        <v>61</v>
      </c>
      <c r="E47" s="2">
        <v>52</v>
      </c>
      <c r="F47" s="2">
        <v>60</v>
      </c>
      <c r="G47" s="2">
        <f>61+2</f>
        <v>63</v>
      </c>
      <c r="H47" s="2">
        <f>60+2</f>
        <v>62</v>
      </c>
      <c r="I47" s="2">
        <f>64+1</f>
        <v>65</v>
      </c>
      <c r="J47" s="2">
        <v>89</v>
      </c>
      <c r="K47" s="2">
        <v>67</v>
      </c>
      <c r="L47" s="2">
        <v>66</v>
      </c>
      <c r="M47" s="2">
        <v>79</v>
      </c>
      <c r="N47" s="2">
        <v>88</v>
      </c>
      <c r="O47" s="2">
        <v>98</v>
      </c>
      <c r="P47" s="2">
        <v>96</v>
      </c>
      <c r="Q47" s="2">
        <v>110</v>
      </c>
      <c r="R47" s="2">
        <f>116+1+1</f>
        <v>118</v>
      </c>
      <c r="S47" s="2">
        <v>129</v>
      </c>
      <c r="T47" s="2">
        <v>147</v>
      </c>
      <c r="U47" s="2">
        <v>157</v>
      </c>
      <c r="V47" s="2">
        <v>198</v>
      </c>
      <c r="W47" s="2">
        <v>195</v>
      </c>
      <c r="X47" s="2">
        <v>183</v>
      </c>
      <c r="Y47" s="2">
        <v>180</v>
      </c>
      <c r="Z47" s="2">
        <v>193</v>
      </c>
      <c r="AA47" s="2">
        <v>222</v>
      </c>
      <c r="AB47" s="2">
        <v>206</v>
      </c>
      <c r="AC47" s="2">
        <v>196</v>
      </c>
    </row>
    <row r="48" spans="1:29" x14ac:dyDescent="0.25">
      <c r="A48" s="1" t="s">
        <v>70</v>
      </c>
      <c r="B48" s="2">
        <v>9</v>
      </c>
      <c r="C48" s="2">
        <v>19</v>
      </c>
      <c r="D48" s="2">
        <v>7</v>
      </c>
      <c r="E48" s="2">
        <v>7</v>
      </c>
      <c r="F48" s="2">
        <v>6</v>
      </c>
      <c r="G48" s="2">
        <v>5</v>
      </c>
      <c r="H48" s="2">
        <v>9</v>
      </c>
      <c r="I48" s="2">
        <v>9</v>
      </c>
      <c r="J48" s="2">
        <v>7</v>
      </c>
      <c r="K48" s="2">
        <v>3</v>
      </c>
      <c r="L48" s="2">
        <v>7</v>
      </c>
      <c r="M48" s="2">
        <v>8</v>
      </c>
      <c r="N48" s="2">
        <v>3</v>
      </c>
      <c r="O48" s="2">
        <v>7</v>
      </c>
      <c r="P48" s="2">
        <v>8</v>
      </c>
      <c r="Q48" s="2">
        <v>8</v>
      </c>
      <c r="R48" s="2">
        <v>8</v>
      </c>
      <c r="S48" s="2">
        <v>19</v>
      </c>
      <c r="T48" s="2">
        <v>8</v>
      </c>
      <c r="U48" s="2">
        <v>17</v>
      </c>
      <c r="V48" s="2">
        <v>11</v>
      </c>
      <c r="W48" s="2">
        <v>13</v>
      </c>
      <c r="X48" s="2">
        <v>15</v>
      </c>
      <c r="Y48" s="2">
        <v>8</v>
      </c>
      <c r="Z48" s="2">
        <v>13</v>
      </c>
      <c r="AA48" s="2">
        <v>4</v>
      </c>
      <c r="AB48" s="2">
        <v>6</v>
      </c>
      <c r="AC48" s="2">
        <v>11</v>
      </c>
    </row>
    <row r="49" spans="1:29" x14ac:dyDescent="0.25">
      <c r="A49" s="1" t="s">
        <v>71</v>
      </c>
      <c r="N49" s="2"/>
      <c r="Q49" s="2"/>
      <c r="R49" s="2"/>
      <c r="S49" s="2"/>
      <c r="T49" s="2">
        <v>0</v>
      </c>
      <c r="U49" s="2">
        <v>0</v>
      </c>
      <c r="V49" s="2">
        <v>0</v>
      </c>
      <c r="W49" s="2">
        <v>1</v>
      </c>
      <c r="X49" s="2">
        <v>6</v>
      </c>
      <c r="Y49" s="2">
        <v>2</v>
      </c>
      <c r="Z49" s="2">
        <v>5</v>
      </c>
      <c r="AA49" s="2">
        <v>8</v>
      </c>
      <c r="AB49" s="2">
        <v>9</v>
      </c>
      <c r="AC49" s="2">
        <v>6</v>
      </c>
    </row>
    <row r="50" spans="1:29" x14ac:dyDescent="0.25">
      <c r="A50" s="1" t="s">
        <v>72</v>
      </c>
      <c r="B50" s="2">
        <v>19</v>
      </c>
      <c r="C50" s="2">
        <v>24</v>
      </c>
      <c r="D50" s="2">
        <v>29</v>
      </c>
      <c r="E50" s="2">
        <v>34</v>
      </c>
      <c r="F50" s="2">
        <v>36</v>
      </c>
      <c r="G50" s="2">
        <f>52+1</f>
        <v>53</v>
      </c>
      <c r="H50" s="2">
        <f>46+3</f>
        <v>49</v>
      </c>
      <c r="I50" s="2">
        <f>36+3</f>
        <v>39</v>
      </c>
      <c r="J50" s="2">
        <v>48</v>
      </c>
      <c r="K50" s="2">
        <f>14+13</f>
        <v>27</v>
      </c>
      <c r="L50" s="2">
        <v>13</v>
      </c>
      <c r="M50" s="2">
        <f>5+14</f>
        <v>19</v>
      </c>
      <c r="N50" s="2">
        <f>8+18</f>
        <v>26</v>
      </c>
      <c r="O50" s="2">
        <f>3+14+1</f>
        <v>18</v>
      </c>
      <c r="P50" s="2">
        <v>13</v>
      </c>
      <c r="Q50" s="2">
        <f>4+16</f>
        <v>20</v>
      </c>
      <c r="R50" s="2">
        <v>30</v>
      </c>
      <c r="S50" s="2">
        <v>23</v>
      </c>
      <c r="T50" s="2">
        <v>33</v>
      </c>
      <c r="U50" s="2">
        <v>33</v>
      </c>
      <c r="V50" s="2">
        <v>37</v>
      </c>
      <c r="W50" s="2">
        <v>43</v>
      </c>
      <c r="X50" s="2">
        <v>56</v>
      </c>
      <c r="Y50" s="2">
        <v>71</v>
      </c>
      <c r="Z50" s="2">
        <v>75</v>
      </c>
      <c r="AA50" s="2">
        <v>71</v>
      </c>
      <c r="AB50" s="2">
        <v>75</v>
      </c>
      <c r="AC50" s="2">
        <v>110</v>
      </c>
    </row>
    <row r="51" spans="1:29" x14ac:dyDescent="0.25">
      <c r="A51" s="1" t="s">
        <v>73</v>
      </c>
      <c r="B51" s="2">
        <v>2</v>
      </c>
      <c r="C51" s="2">
        <v>1</v>
      </c>
      <c r="D51" s="2">
        <v>2</v>
      </c>
      <c r="E51" s="2">
        <v>1</v>
      </c>
      <c r="F51" s="2">
        <v>0</v>
      </c>
      <c r="G51" s="2">
        <v>1</v>
      </c>
      <c r="H51" s="2">
        <v>1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3</v>
      </c>
      <c r="AB51" s="2">
        <v>3</v>
      </c>
      <c r="AC51" s="2">
        <v>0</v>
      </c>
    </row>
    <row r="52" spans="1:29" x14ac:dyDescent="0.25">
      <c r="A52" s="1" t="s">
        <v>74</v>
      </c>
      <c r="N52" s="2"/>
      <c r="Q52" s="2"/>
      <c r="R52" s="2"/>
      <c r="S52" s="2"/>
      <c r="U52" s="2">
        <v>8</v>
      </c>
      <c r="V52" s="2">
        <v>8</v>
      </c>
      <c r="W52" s="2">
        <v>9</v>
      </c>
      <c r="X52" s="2">
        <v>16</v>
      </c>
      <c r="Y52" s="2">
        <v>26</v>
      </c>
      <c r="Z52" s="2">
        <v>14</v>
      </c>
      <c r="AA52" s="2">
        <v>30</v>
      </c>
      <c r="AB52" s="2">
        <v>24</v>
      </c>
      <c r="AC52" s="2">
        <v>20</v>
      </c>
    </row>
    <row r="53" spans="1:29" x14ac:dyDescent="0.25">
      <c r="A53" s="1" t="s">
        <v>75</v>
      </c>
      <c r="L53" s="2">
        <v>0</v>
      </c>
      <c r="M53" s="2">
        <v>0</v>
      </c>
      <c r="N53" s="2">
        <v>0</v>
      </c>
      <c r="O53" s="2">
        <v>0</v>
      </c>
      <c r="P53" s="2">
        <v>3</v>
      </c>
      <c r="Q53" s="2">
        <f>22</f>
        <v>22</v>
      </c>
      <c r="R53" s="2">
        <v>24</v>
      </c>
      <c r="S53" s="2">
        <v>26</v>
      </c>
      <c r="T53" s="2">
        <v>54</v>
      </c>
      <c r="U53" s="2">
        <v>61</v>
      </c>
      <c r="V53" s="2">
        <v>66</v>
      </c>
      <c r="W53" s="2">
        <v>72</v>
      </c>
      <c r="X53" s="2">
        <v>93</v>
      </c>
      <c r="Y53" s="2">
        <v>114</v>
      </c>
      <c r="Z53" s="2">
        <v>108</v>
      </c>
      <c r="AA53" s="2">
        <v>103</v>
      </c>
      <c r="AB53" s="2">
        <v>88</v>
      </c>
      <c r="AC53" s="2">
        <v>80</v>
      </c>
    </row>
    <row r="54" spans="1:29" x14ac:dyDescent="0.25">
      <c r="A54" s="1" t="s">
        <v>76</v>
      </c>
      <c r="B54" s="2">
        <v>10</v>
      </c>
      <c r="C54" s="2">
        <v>6</v>
      </c>
      <c r="D54" s="2">
        <v>12</v>
      </c>
      <c r="E54" s="2">
        <v>5</v>
      </c>
      <c r="F54" s="2">
        <v>6</v>
      </c>
      <c r="G54" s="2">
        <v>2</v>
      </c>
      <c r="H54" s="2">
        <v>8</v>
      </c>
      <c r="I54" s="2">
        <f>5+1</f>
        <v>6</v>
      </c>
      <c r="J54" s="2">
        <v>7</v>
      </c>
      <c r="K54" s="2">
        <f>2+8</f>
        <v>10</v>
      </c>
      <c r="L54" s="2">
        <f>6+2</f>
        <v>8</v>
      </c>
      <c r="M54" s="2">
        <f>1+5</f>
        <v>6</v>
      </c>
      <c r="N54" s="2">
        <f>4+5</f>
        <v>9</v>
      </c>
      <c r="O54" s="2">
        <f>3+9+2</f>
        <v>14</v>
      </c>
      <c r="P54" s="2">
        <v>3</v>
      </c>
      <c r="Q54" s="2">
        <f>2+9</f>
        <v>11</v>
      </c>
      <c r="R54" s="2">
        <f>12+1</f>
        <v>13</v>
      </c>
      <c r="S54" s="2">
        <v>15</v>
      </c>
      <c r="T54" s="2">
        <v>15</v>
      </c>
      <c r="U54" s="2">
        <v>20</v>
      </c>
      <c r="V54" s="2">
        <v>13</v>
      </c>
      <c r="W54" s="2">
        <v>17</v>
      </c>
      <c r="X54" s="2">
        <v>18</v>
      </c>
      <c r="Y54" s="2">
        <v>30</v>
      </c>
      <c r="Z54" s="2">
        <v>26</v>
      </c>
      <c r="AA54" s="2">
        <v>26</v>
      </c>
      <c r="AB54" s="2">
        <v>22</v>
      </c>
      <c r="AC54" s="2">
        <v>22</v>
      </c>
    </row>
    <row r="55" spans="1:29" x14ac:dyDescent="0.25">
      <c r="A55" s="1" t="s">
        <v>77</v>
      </c>
      <c r="B55" s="2">
        <v>7</v>
      </c>
      <c r="C55" s="2">
        <v>4</v>
      </c>
      <c r="D55" s="2">
        <v>5</v>
      </c>
      <c r="E55" s="2">
        <v>4</v>
      </c>
      <c r="F55" s="2">
        <v>3</v>
      </c>
      <c r="G55" s="2">
        <v>2</v>
      </c>
      <c r="H55" s="2">
        <v>0</v>
      </c>
      <c r="I55" s="2">
        <f>3+1</f>
        <v>4</v>
      </c>
      <c r="J55" s="2">
        <v>4</v>
      </c>
      <c r="K55" s="2">
        <v>5</v>
      </c>
      <c r="L55" s="2">
        <f>6+1</f>
        <v>7</v>
      </c>
      <c r="M55" s="2">
        <v>4</v>
      </c>
      <c r="N55" s="2">
        <v>2</v>
      </c>
      <c r="O55" s="2">
        <f>3+1</f>
        <v>4</v>
      </c>
      <c r="P55" s="2">
        <v>6</v>
      </c>
      <c r="Q55" s="2">
        <v>3</v>
      </c>
      <c r="R55" s="2">
        <v>11</v>
      </c>
      <c r="S55" s="2">
        <v>5</v>
      </c>
      <c r="T55" s="2">
        <v>12</v>
      </c>
      <c r="U55" s="2">
        <v>8</v>
      </c>
      <c r="V55" s="2">
        <v>6</v>
      </c>
      <c r="W55" s="2">
        <v>7</v>
      </c>
      <c r="X55" s="2">
        <v>10</v>
      </c>
      <c r="Y55" s="2">
        <v>13</v>
      </c>
      <c r="Z55" s="2">
        <v>7</v>
      </c>
      <c r="AA55" s="2">
        <v>12</v>
      </c>
      <c r="AB55" s="2">
        <v>6</v>
      </c>
      <c r="AC55" s="2">
        <v>6</v>
      </c>
    </row>
    <row r="56" spans="1:29" x14ac:dyDescent="0.25">
      <c r="A56" s="1" t="s">
        <v>65</v>
      </c>
      <c r="N56" s="2"/>
      <c r="Q56" s="2"/>
      <c r="R56" s="2"/>
      <c r="S56" s="2"/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</row>
    <row r="57" spans="1:29" x14ac:dyDescent="0.25">
      <c r="A57" s="23" t="s">
        <v>78</v>
      </c>
      <c r="B57" s="8">
        <f>SUM(N20:N36)</f>
        <v>213</v>
      </c>
      <c r="C57" s="8">
        <f>SUM(O20:O36)</f>
        <v>218</v>
      </c>
      <c r="D57" s="8">
        <f>SUM(P20:P36)</f>
        <v>208</v>
      </c>
      <c r="E57" s="8">
        <f>SUM(Q20:Q36)</f>
        <v>226</v>
      </c>
      <c r="F57" s="8">
        <f>SUM(R20:R35)</f>
        <v>149</v>
      </c>
      <c r="G57" s="8" t="e">
        <f>G46+G47+#REF!+G48+G50+G93+G51+G54+G55</f>
        <v>#REF!</v>
      </c>
      <c r="H57" s="8" t="e">
        <f>H46+H47+#REF!+H48+H50+H93+H51+H54+H55</f>
        <v>#REF!</v>
      </c>
      <c r="I57" s="8" t="e">
        <f>I46+I47+#REF!+I48+I50+I93+I51+I54+I55</f>
        <v>#REF!</v>
      </c>
      <c r="J57" s="8" t="e">
        <f>J46+J47+#REF!+J48+J50+J93+J51+J54+J55</f>
        <v>#REF!</v>
      </c>
      <c r="K57" s="8" t="e">
        <f>K46+K47+#REF!+K48+K50+K93+K51+K54+K55+#REF!</f>
        <v>#REF!</v>
      </c>
      <c r="L57" s="8">
        <f t="shared" ref="L57:T57" si="1">L46+L47+L48+L50+L93+L51+L54+L55+L53</f>
        <v>134</v>
      </c>
      <c r="M57" s="8">
        <f t="shared" si="1"/>
        <v>151</v>
      </c>
      <c r="N57" s="8">
        <f t="shared" si="1"/>
        <v>171</v>
      </c>
      <c r="O57" s="8">
        <f t="shared" si="1"/>
        <v>189</v>
      </c>
      <c r="P57" s="8">
        <f t="shared" si="1"/>
        <v>189</v>
      </c>
      <c r="Q57" s="8">
        <f t="shared" si="1"/>
        <v>235</v>
      </c>
      <c r="R57" s="8">
        <f t="shared" si="1"/>
        <v>291</v>
      </c>
      <c r="S57" s="8">
        <f t="shared" si="1"/>
        <v>290</v>
      </c>
      <c r="T57" s="8">
        <f t="shared" si="1"/>
        <v>335</v>
      </c>
      <c r="U57" s="8">
        <f>U46+U47+U48+U50+U93+U51+U52+U54+U55+U53</f>
        <v>377</v>
      </c>
      <c r="V57" s="8">
        <f>SUM(V46:V55)</f>
        <v>355</v>
      </c>
      <c r="W57" s="8">
        <f>SUM(W46:W55)</f>
        <v>382</v>
      </c>
      <c r="X57" s="8">
        <f>SUM(X46:X55)</f>
        <v>415</v>
      </c>
      <c r="Y57" s="8">
        <f>SUM(Y46:Y55)</f>
        <v>468</v>
      </c>
      <c r="Z57" s="8">
        <f>SUM(Z46:Z55)</f>
        <v>469</v>
      </c>
      <c r="AA57" s="8">
        <f>SUM(AA46:AA56)</f>
        <v>503</v>
      </c>
      <c r="AB57" s="8">
        <f>SUM(AB46:AB56)</f>
        <v>455</v>
      </c>
      <c r="AC57" s="8">
        <f>SUM(AC46:AC56)</f>
        <v>470</v>
      </c>
    </row>
    <row r="58" spans="1:29" x14ac:dyDescent="0.25">
      <c r="A58" s="20" t="s">
        <v>119</v>
      </c>
      <c r="N58" s="2"/>
      <c r="Q58" s="2"/>
      <c r="R58" s="2"/>
      <c r="S58" s="2"/>
      <c r="X58" s="2"/>
    </row>
    <row r="59" spans="1:29" x14ac:dyDescent="0.25">
      <c r="A59" s="1" t="s">
        <v>79</v>
      </c>
      <c r="B59" s="2">
        <v>128</v>
      </c>
      <c r="C59" s="2">
        <v>113</v>
      </c>
      <c r="D59" s="2">
        <v>98</v>
      </c>
      <c r="E59" s="2">
        <v>89</v>
      </c>
      <c r="F59" s="2">
        <v>106</v>
      </c>
      <c r="G59" s="2">
        <v>90</v>
      </c>
      <c r="H59" s="2">
        <v>81</v>
      </c>
      <c r="I59" s="2">
        <v>76</v>
      </c>
      <c r="J59" s="2">
        <v>101</v>
      </c>
      <c r="K59" s="2">
        <v>129</v>
      </c>
      <c r="L59" s="2">
        <v>124</v>
      </c>
      <c r="M59" s="2">
        <v>128</v>
      </c>
      <c r="N59" s="2">
        <v>141</v>
      </c>
      <c r="O59" s="2">
        <v>151</v>
      </c>
      <c r="P59" s="2">
        <v>159</v>
      </c>
      <c r="Q59" s="2">
        <v>172</v>
      </c>
      <c r="R59" s="2">
        <v>175</v>
      </c>
      <c r="S59" s="2">
        <v>191</v>
      </c>
      <c r="T59" s="2">
        <v>167</v>
      </c>
      <c r="U59" s="2">
        <v>157</v>
      </c>
      <c r="V59" s="2">
        <v>148</v>
      </c>
      <c r="W59" s="2">
        <v>116</v>
      </c>
      <c r="X59" s="2">
        <v>138</v>
      </c>
      <c r="Y59" s="2">
        <v>151</v>
      </c>
      <c r="Z59" s="2">
        <v>176</v>
      </c>
      <c r="AA59" s="2">
        <v>228</v>
      </c>
      <c r="AB59" s="2">
        <v>186</v>
      </c>
      <c r="AC59" s="2">
        <v>197</v>
      </c>
    </row>
    <row r="60" spans="1:29" x14ac:dyDescent="0.25">
      <c r="A60" s="1" t="s">
        <v>80</v>
      </c>
      <c r="K60" s="2">
        <v>0</v>
      </c>
      <c r="L60" s="2">
        <v>0</v>
      </c>
      <c r="M60" s="2">
        <v>0</v>
      </c>
      <c r="N60" s="2">
        <v>0</v>
      </c>
      <c r="O60" s="2">
        <v>24</v>
      </c>
      <c r="P60" s="2">
        <v>30</v>
      </c>
      <c r="Q60" s="2">
        <v>27</v>
      </c>
      <c r="R60" s="2">
        <v>26</v>
      </c>
      <c r="S60" s="2">
        <v>31</v>
      </c>
      <c r="T60" s="2">
        <v>27</v>
      </c>
      <c r="U60" s="2">
        <v>26</v>
      </c>
      <c r="V60" s="2">
        <v>50</v>
      </c>
      <c r="W60" s="2">
        <v>34</v>
      </c>
      <c r="X60" s="2">
        <v>31</v>
      </c>
      <c r="Y60" s="2">
        <v>27</v>
      </c>
      <c r="Z60" s="2">
        <v>82</v>
      </c>
      <c r="AA60" s="2">
        <v>161</v>
      </c>
      <c r="AB60" s="2">
        <v>146</v>
      </c>
      <c r="AC60" s="2">
        <v>118</v>
      </c>
    </row>
    <row r="61" spans="1:29" x14ac:dyDescent="0.25">
      <c r="A61" s="24" t="s">
        <v>81</v>
      </c>
      <c r="B61" s="4">
        <v>82</v>
      </c>
      <c r="C61" s="4">
        <v>82</v>
      </c>
      <c r="D61" s="4">
        <v>78</v>
      </c>
      <c r="E61" s="4">
        <v>93</v>
      </c>
      <c r="F61" s="4">
        <v>63</v>
      </c>
      <c r="G61" s="4">
        <v>60</v>
      </c>
      <c r="H61" s="4">
        <v>59</v>
      </c>
      <c r="I61" s="4">
        <v>35</v>
      </c>
      <c r="J61" s="4">
        <v>22</v>
      </c>
      <c r="K61" s="4">
        <v>17</v>
      </c>
      <c r="L61" s="4">
        <v>40</v>
      </c>
      <c r="M61" s="4">
        <v>53</v>
      </c>
      <c r="N61" s="4">
        <v>80</v>
      </c>
      <c r="O61" s="4">
        <v>93</v>
      </c>
      <c r="P61" s="4">
        <v>143</v>
      </c>
      <c r="Q61" s="4">
        <v>159</v>
      </c>
      <c r="R61" s="4">
        <v>216</v>
      </c>
      <c r="S61" s="4">
        <v>205</v>
      </c>
      <c r="T61" s="4">
        <v>222</v>
      </c>
      <c r="U61" s="4">
        <v>205</v>
      </c>
      <c r="V61" s="4">
        <v>167</v>
      </c>
      <c r="W61" s="4">
        <v>142</v>
      </c>
      <c r="X61" s="4">
        <v>117</v>
      </c>
      <c r="Y61" s="4">
        <v>96</v>
      </c>
      <c r="Z61" s="4">
        <v>102</v>
      </c>
      <c r="AA61" s="4">
        <v>94</v>
      </c>
      <c r="AB61" s="4">
        <v>40</v>
      </c>
      <c r="AC61" s="4">
        <v>51</v>
      </c>
    </row>
    <row r="62" spans="1:29" x14ac:dyDescent="0.25">
      <c r="A62" s="21" t="s">
        <v>82</v>
      </c>
      <c r="B62" s="9">
        <f>SUM(B59:B61)</f>
        <v>210</v>
      </c>
      <c r="C62" s="9">
        <v>195</v>
      </c>
      <c r="D62" s="9">
        <v>176</v>
      </c>
      <c r="E62" s="9">
        <v>182</v>
      </c>
      <c r="F62" s="9">
        <f t="shared" ref="F62:R62" si="2">SUM(F59:F61)</f>
        <v>169</v>
      </c>
      <c r="G62" s="9">
        <f t="shared" si="2"/>
        <v>150</v>
      </c>
      <c r="H62" s="9">
        <f t="shared" si="2"/>
        <v>140</v>
      </c>
      <c r="I62" s="9">
        <f t="shared" si="2"/>
        <v>111</v>
      </c>
      <c r="J62" s="9">
        <f t="shared" si="2"/>
        <v>123</v>
      </c>
      <c r="K62" s="10">
        <f t="shared" si="2"/>
        <v>146</v>
      </c>
      <c r="L62" s="9">
        <f t="shared" si="2"/>
        <v>164</v>
      </c>
      <c r="M62" s="9">
        <f t="shared" si="2"/>
        <v>181</v>
      </c>
      <c r="N62" s="9">
        <f t="shared" si="2"/>
        <v>221</v>
      </c>
      <c r="O62" s="9">
        <f t="shared" si="2"/>
        <v>268</v>
      </c>
      <c r="P62" s="9">
        <f t="shared" si="2"/>
        <v>332</v>
      </c>
      <c r="Q62" s="9">
        <f t="shared" si="2"/>
        <v>358</v>
      </c>
      <c r="R62" s="9">
        <f t="shared" si="2"/>
        <v>417</v>
      </c>
      <c r="S62" s="9">
        <f t="shared" ref="S62:Y62" si="3">SUM(S59:S61)</f>
        <v>427</v>
      </c>
      <c r="T62" s="9">
        <f t="shared" si="3"/>
        <v>416</v>
      </c>
      <c r="U62" s="9">
        <f t="shared" si="3"/>
        <v>388</v>
      </c>
      <c r="V62" s="9">
        <f t="shared" si="3"/>
        <v>365</v>
      </c>
      <c r="W62" s="9">
        <f t="shared" si="3"/>
        <v>292</v>
      </c>
      <c r="X62" s="9">
        <f t="shared" si="3"/>
        <v>286</v>
      </c>
      <c r="Y62" s="9">
        <f t="shared" si="3"/>
        <v>274</v>
      </c>
      <c r="Z62" s="5">
        <f>SUM(Z59:Z61)</f>
        <v>360</v>
      </c>
      <c r="AA62" s="5">
        <f>SUM(AA59:AA61)</f>
        <v>483</v>
      </c>
      <c r="AB62" s="5">
        <f>SUM(AB59:AB61)</f>
        <v>372</v>
      </c>
      <c r="AC62" s="5">
        <f>SUM(AC59:AC61)</f>
        <v>366</v>
      </c>
    </row>
    <row r="63" spans="1:29" x14ac:dyDescent="0.25">
      <c r="A63" s="20" t="s">
        <v>83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Q63" s="2"/>
      <c r="R63" s="2"/>
      <c r="S63" s="2"/>
      <c r="X63" s="2"/>
    </row>
    <row r="64" spans="1:29" x14ac:dyDescent="0.25">
      <c r="A64" s="1" t="s">
        <v>84</v>
      </c>
      <c r="B64" s="2">
        <v>39</v>
      </c>
      <c r="C64" s="2">
        <v>47</v>
      </c>
      <c r="D64" s="2">
        <v>45</v>
      </c>
      <c r="E64" s="2">
        <v>49</v>
      </c>
      <c r="F64" s="2">
        <v>37</v>
      </c>
      <c r="G64" s="2">
        <v>2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13</v>
      </c>
      <c r="N64" s="2">
        <v>54</v>
      </c>
      <c r="O64" s="2">
        <v>58</v>
      </c>
      <c r="P64" s="2">
        <v>85</v>
      </c>
      <c r="Q64" s="2">
        <v>85</v>
      </c>
      <c r="R64" s="2">
        <v>126</v>
      </c>
      <c r="S64" s="2">
        <v>125</v>
      </c>
      <c r="T64" s="2">
        <v>137</v>
      </c>
      <c r="U64" s="2">
        <v>133</v>
      </c>
      <c r="V64" s="2">
        <f>183+1</f>
        <v>184</v>
      </c>
      <c r="W64" s="2">
        <v>184</v>
      </c>
      <c r="X64" s="2">
        <v>147</v>
      </c>
      <c r="Y64" s="2">
        <v>145</v>
      </c>
      <c r="Z64" s="2">
        <v>131</v>
      </c>
      <c r="AA64" s="2">
        <v>157</v>
      </c>
      <c r="AB64" s="2">
        <v>147</v>
      </c>
      <c r="AC64" s="2">
        <v>102</v>
      </c>
    </row>
    <row r="65" spans="1:29" x14ac:dyDescent="0.25">
      <c r="A65" s="25" t="s">
        <v>85</v>
      </c>
      <c r="B65" s="8"/>
      <c r="C65" s="8"/>
      <c r="D65" s="11"/>
      <c r="E65" s="11"/>
      <c r="F65" s="4"/>
      <c r="G65" s="11"/>
      <c r="H65" s="11"/>
      <c r="I65" s="11"/>
      <c r="J65" s="11"/>
      <c r="K65" s="4" t="e">
        <f>K64+#REF!</f>
        <v>#REF!</v>
      </c>
      <c r="L65" s="4">
        <f>L64</f>
        <v>0</v>
      </c>
      <c r="M65" s="4">
        <f>M64</f>
        <v>13</v>
      </c>
      <c r="N65" s="4">
        <f>N64</f>
        <v>54</v>
      </c>
      <c r="O65" s="4">
        <f t="shared" ref="O65:AC65" si="4">O64</f>
        <v>58</v>
      </c>
      <c r="P65" s="4">
        <f t="shared" si="4"/>
        <v>85</v>
      </c>
      <c r="Q65" s="4">
        <f t="shared" si="4"/>
        <v>85</v>
      </c>
      <c r="R65" s="4">
        <f t="shared" si="4"/>
        <v>126</v>
      </c>
      <c r="S65" s="4">
        <f t="shared" si="4"/>
        <v>125</v>
      </c>
      <c r="T65" s="4">
        <f t="shared" si="4"/>
        <v>137</v>
      </c>
      <c r="U65" s="4">
        <f t="shared" si="4"/>
        <v>133</v>
      </c>
      <c r="V65" s="4">
        <f t="shared" si="4"/>
        <v>184</v>
      </c>
      <c r="W65" s="4">
        <f t="shared" si="4"/>
        <v>184</v>
      </c>
      <c r="X65" s="4">
        <f t="shared" si="4"/>
        <v>147</v>
      </c>
      <c r="Y65" s="4">
        <f t="shared" si="4"/>
        <v>145</v>
      </c>
      <c r="Z65" s="4">
        <f t="shared" si="4"/>
        <v>131</v>
      </c>
      <c r="AA65" s="4">
        <f t="shared" si="4"/>
        <v>157</v>
      </c>
      <c r="AB65" s="4">
        <f t="shared" si="4"/>
        <v>147</v>
      </c>
      <c r="AC65" s="4">
        <f t="shared" si="4"/>
        <v>102</v>
      </c>
    </row>
    <row r="66" spans="1:29" x14ac:dyDescent="0.25">
      <c r="A66" s="19" t="s">
        <v>123</v>
      </c>
      <c r="B66" s="9">
        <v>249</v>
      </c>
      <c r="C66" s="9">
        <v>242</v>
      </c>
      <c r="D66" s="9">
        <v>221</v>
      </c>
      <c r="E66" s="9">
        <v>231</v>
      </c>
      <c r="F66" s="9">
        <f t="shared" ref="F66:S66" si="5">SUM(F62:F64)</f>
        <v>206</v>
      </c>
      <c r="G66" s="9">
        <f t="shared" si="5"/>
        <v>152</v>
      </c>
      <c r="H66" s="9">
        <f t="shared" si="5"/>
        <v>141</v>
      </c>
      <c r="I66" s="9">
        <f t="shared" si="5"/>
        <v>111</v>
      </c>
      <c r="J66" s="9">
        <f t="shared" si="5"/>
        <v>123</v>
      </c>
      <c r="K66" s="9">
        <f t="shared" si="5"/>
        <v>146</v>
      </c>
      <c r="L66" s="9">
        <f t="shared" si="5"/>
        <v>164</v>
      </c>
      <c r="M66" s="9">
        <f t="shared" si="5"/>
        <v>194</v>
      </c>
      <c r="N66" s="9">
        <f t="shared" si="5"/>
        <v>275</v>
      </c>
      <c r="O66" s="9">
        <f t="shared" si="5"/>
        <v>326</v>
      </c>
      <c r="P66" s="9">
        <f t="shared" si="5"/>
        <v>417</v>
      </c>
      <c r="Q66" s="9">
        <f t="shared" si="5"/>
        <v>443</v>
      </c>
      <c r="R66" s="9">
        <f t="shared" si="5"/>
        <v>543</v>
      </c>
      <c r="S66" s="9">
        <f t="shared" si="5"/>
        <v>552</v>
      </c>
      <c r="T66" s="5">
        <f t="shared" ref="T66" si="6">T62+T65</f>
        <v>553</v>
      </c>
      <c r="U66" s="5">
        <f t="shared" ref="U66" si="7">U62+U65</f>
        <v>521</v>
      </c>
      <c r="V66" s="5">
        <f t="shared" ref="V66" si="8">V62+V65</f>
        <v>549</v>
      </c>
      <c r="W66" s="5">
        <f t="shared" ref="W66" si="9">W62+W65</f>
        <v>476</v>
      </c>
      <c r="X66" s="5">
        <f t="shared" ref="X66" si="10">X62+X65</f>
        <v>433</v>
      </c>
      <c r="Y66" s="5">
        <f t="shared" ref="Y66" si="11">Y62+Y65</f>
        <v>419</v>
      </c>
      <c r="Z66" s="5">
        <f t="shared" ref="Z66" si="12">Z62+Z65</f>
        <v>491</v>
      </c>
      <c r="AA66" s="5">
        <f t="shared" ref="AA66:AB66" si="13">AA62+AA65</f>
        <v>640</v>
      </c>
      <c r="AB66" s="5">
        <f t="shared" si="13"/>
        <v>519</v>
      </c>
      <c r="AC66" s="5">
        <f>AC62+AC65</f>
        <v>468</v>
      </c>
    </row>
    <row r="67" spans="1:29" x14ac:dyDescent="0.25">
      <c r="A67" s="20" t="s">
        <v>86</v>
      </c>
      <c r="N67" s="2"/>
      <c r="Q67" s="2"/>
      <c r="R67" s="2"/>
      <c r="S67" s="2"/>
      <c r="X67" s="2"/>
    </row>
    <row r="68" spans="1:29" x14ac:dyDescent="0.25">
      <c r="A68" s="17" t="s">
        <v>87</v>
      </c>
      <c r="L68" s="2">
        <v>0</v>
      </c>
      <c r="M68" s="2">
        <v>66</v>
      </c>
      <c r="N68" s="2">
        <v>73</v>
      </c>
      <c r="O68" s="2">
        <v>87</v>
      </c>
      <c r="P68" s="2">
        <v>93</v>
      </c>
      <c r="Q68" s="2">
        <v>115</v>
      </c>
      <c r="R68" s="2">
        <v>116</v>
      </c>
      <c r="S68" s="2">
        <v>87</v>
      </c>
      <c r="T68" s="2">
        <v>98</v>
      </c>
      <c r="U68" s="2">
        <v>132</v>
      </c>
      <c r="V68" s="2">
        <v>112</v>
      </c>
      <c r="W68" s="2">
        <v>107</v>
      </c>
      <c r="X68" s="2">
        <v>107</v>
      </c>
      <c r="Y68" s="2">
        <v>118</v>
      </c>
      <c r="Z68" s="2">
        <v>84</v>
      </c>
      <c r="AA68" s="2">
        <v>79</v>
      </c>
      <c r="AB68" s="2">
        <v>67</v>
      </c>
      <c r="AC68" s="2">
        <v>48</v>
      </c>
    </row>
    <row r="69" spans="1:29" x14ac:dyDescent="0.25">
      <c r="A69" s="17" t="s">
        <v>88</v>
      </c>
      <c r="L69" s="2">
        <v>0</v>
      </c>
      <c r="M69" s="2">
        <v>92</v>
      </c>
      <c r="N69" s="2">
        <v>78</v>
      </c>
      <c r="O69" s="2">
        <v>113</v>
      </c>
      <c r="P69" s="2">
        <v>109</v>
      </c>
      <c r="Q69" s="2">
        <v>93</v>
      </c>
      <c r="R69" s="2">
        <v>119</v>
      </c>
      <c r="S69" s="2">
        <v>166</v>
      </c>
      <c r="T69" s="2">
        <v>102</v>
      </c>
      <c r="U69" s="2">
        <v>151</v>
      </c>
      <c r="V69" s="2">
        <v>130</v>
      </c>
      <c r="W69" s="2">
        <v>140</v>
      </c>
      <c r="X69" s="2">
        <v>117</v>
      </c>
      <c r="Y69" s="2">
        <v>122</v>
      </c>
      <c r="Z69" s="2">
        <v>122</v>
      </c>
      <c r="AA69" s="2">
        <v>93</v>
      </c>
      <c r="AB69" s="2">
        <v>96</v>
      </c>
      <c r="AC69" s="2">
        <v>91</v>
      </c>
    </row>
    <row r="70" spans="1:29" x14ac:dyDescent="0.25">
      <c r="A70" s="1" t="s">
        <v>113</v>
      </c>
      <c r="N70" s="2"/>
      <c r="Q70" s="2"/>
      <c r="R70" s="2"/>
      <c r="S70" s="2"/>
      <c r="T70" s="2">
        <v>0</v>
      </c>
      <c r="U70" s="2">
        <v>0</v>
      </c>
      <c r="V70" s="2">
        <v>9</v>
      </c>
      <c r="W70" s="2">
        <v>26</v>
      </c>
      <c r="X70" s="2">
        <v>22</v>
      </c>
      <c r="Y70" s="2">
        <v>40</v>
      </c>
      <c r="Z70" s="2">
        <v>27</v>
      </c>
      <c r="AA70" s="2">
        <v>39</v>
      </c>
      <c r="AB70" s="2">
        <v>33</v>
      </c>
      <c r="AC70" s="2">
        <v>25</v>
      </c>
    </row>
    <row r="71" spans="1:29" hidden="1" x14ac:dyDescent="0.25">
      <c r="A71" s="22" t="s">
        <v>89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31">
        <v>0</v>
      </c>
    </row>
    <row r="72" spans="1:29" x14ac:dyDescent="0.25">
      <c r="A72" s="17" t="s">
        <v>90</v>
      </c>
      <c r="L72" s="2">
        <v>0</v>
      </c>
      <c r="M72" s="2">
        <v>5</v>
      </c>
      <c r="N72" s="2">
        <v>0</v>
      </c>
      <c r="O72" s="2">
        <v>7</v>
      </c>
      <c r="P72" s="2">
        <v>4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31">
        <v>0</v>
      </c>
      <c r="AA72" s="31">
        <v>0</v>
      </c>
      <c r="AB72" s="2">
        <v>0</v>
      </c>
      <c r="AC72" s="2">
        <v>0</v>
      </c>
    </row>
    <row r="73" spans="1:29" x14ac:dyDescent="0.25">
      <c r="A73" s="17" t="s">
        <v>91</v>
      </c>
      <c r="L73" s="2">
        <v>0</v>
      </c>
      <c r="M73" s="2">
        <v>0</v>
      </c>
      <c r="N73" s="2">
        <v>1</v>
      </c>
      <c r="O73" s="2">
        <v>0</v>
      </c>
      <c r="P73" s="2">
        <v>3</v>
      </c>
      <c r="Q73" s="2">
        <v>3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0</v>
      </c>
    </row>
    <row r="74" spans="1:29" x14ac:dyDescent="0.25">
      <c r="A74" s="17" t="s">
        <v>75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7</v>
      </c>
      <c r="R74" s="2">
        <v>11</v>
      </c>
      <c r="S74" s="2">
        <v>29</v>
      </c>
      <c r="T74" s="2">
        <v>26</v>
      </c>
      <c r="U74" s="2">
        <v>36</v>
      </c>
      <c r="V74" s="2">
        <v>50</v>
      </c>
      <c r="W74" s="2">
        <v>42</v>
      </c>
      <c r="X74" s="2">
        <v>43</v>
      </c>
      <c r="Y74" s="2">
        <v>32</v>
      </c>
      <c r="Z74" s="2">
        <v>34</v>
      </c>
      <c r="AA74" s="2">
        <v>34</v>
      </c>
      <c r="AB74" s="2">
        <v>26</v>
      </c>
      <c r="AC74" s="2">
        <v>27</v>
      </c>
    </row>
    <row r="75" spans="1:29" x14ac:dyDescent="0.25">
      <c r="A75" s="17" t="s">
        <v>122</v>
      </c>
      <c r="N75" s="2"/>
      <c r="Q75" s="2"/>
      <c r="R75" s="2"/>
      <c r="S75" s="2"/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6</v>
      </c>
    </row>
    <row r="76" spans="1:29" x14ac:dyDescent="0.25">
      <c r="A76" s="17" t="s">
        <v>121</v>
      </c>
      <c r="L76" s="2">
        <v>0</v>
      </c>
      <c r="M76" s="2">
        <v>17</v>
      </c>
      <c r="N76" s="2">
        <v>22</v>
      </c>
      <c r="O76" s="2">
        <v>25</v>
      </c>
      <c r="P76" s="2">
        <v>41</v>
      </c>
      <c r="Q76" s="2">
        <v>41</v>
      </c>
      <c r="R76" s="2">
        <v>37</v>
      </c>
      <c r="S76" s="2">
        <v>46</v>
      </c>
      <c r="T76" s="2">
        <v>43</v>
      </c>
      <c r="U76" s="2">
        <v>46</v>
      </c>
      <c r="V76" s="2">
        <v>52</v>
      </c>
      <c r="W76" s="2">
        <v>37</v>
      </c>
      <c r="X76" s="2">
        <v>44</v>
      </c>
      <c r="Y76" s="2">
        <v>25</v>
      </c>
      <c r="Z76" s="2">
        <v>33</v>
      </c>
      <c r="AA76" s="2">
        <v>40</v>
      </c>
      <c r="AB76" s="2">
        <v>21</v>
      </c>
      <c r="AC76" s="2">
        <v>27</v>
      </c>
    </row>
    <row r="77" spans="1:29" x14ac:dyDescent="0.25">
      <c r="A77" s="17" t="s">
        <v>120</v>
      </c>
      <c r="L77" s="2">
        <v>0</v>
      </c>
      <c r="M77" s="2">
        <v>30</v>
      </c>
      <c r="N77" s="2">
        <v>27</v>
      </c>
      <c r="O77" s="2">
        <v>36</v>
      </c>
      <c r="P77" s="2">
        <v>25</v>
      </c>
      <c r="Q77" s="2">
        <v>30</v>
      </c>
      <c r="R77" s="2">
        <v>23</v>
      </c>
      <c r="S77" s="2">
        <v>26</v>
      </c>
      <c r="T77" s="2">
        <v>11</v>
      </c>
      <c r="U77" s="2">
        <v>16</v>
      </c>
      <c r="V77" s="2">
        <v>0</v>
      </c>
      <c r="W77" s="2">
        <v>0</v>
      </c>
      <c r="X77" s="2">
        <v>1</v>
      </c>
      <c r="Y77" s="2">
        <v>9</v>
      </c>
      <c r="Z77" s="2">
        <v>17</v>
      </c>
      <c r="AA77" s="2">
        <v>23</v>
      </c>
      <c r="AB77" s="2">
        <v>34</v>
      </c>
      <c r="AC77" s="2">
        <v>38</v>
      </c>
    </row>
    <row r="78" spans="1:29" x14ac:dyDescent="0.25">
      <c r="A78" s="1" t="s">
        <v>92</v>
      </c>
      <c r="B78" s="2">
        <v>266</v>
      </c>
      <c r="C78" s="2">
        <v>216</v>
      </c>
      <c r="D78" s="2">
        <v>185</v>
      </c>
      <c r="E78" s="2">
        <v>232</v>
      </c>
      <c r="F78" s="2">
        <v>252</v>
      </c>
      <c r="G78" s="2">
        <v>312</v>
      </c>
      <c r="H78" s="2">
        <v>337</v>
      </c>
      <c r="I78" s="2">
        <v>358</v>
      </c>
      <c r="J78" s="2">
        <v>374</v>
      </c>
      <c r="K78" s="2">
        <v>358</v>
      </c>
      <c r="L78" s="2">
        <v>307</v>
      </c>
      <c r="M78" s="2">
        <v>34</v>
      </c>
      <c r="N78" s="2">
        <v>49</v>
      </c>
      <c r="O78" s="2">
        <v>53</v>
      </c>
      <c r="P78" s="2">
        <v>67</v>
      </c>
      <c r="Q78" s="2">
        <v>92</v>
      </c>
      <c r="R78" s="2">
        <v>75</v>
      </c>
      <c r="S78" s="2">
        <v>64</v>
      </c>
      <c r="T78" s="2">
        <v>85</v>
      </c>
      <c r="U78" s="2">
        <v>72</v>
      </c>
      <c r="V78" s="2">
        <f>55+19</f>
        <v>74</v>
      </c>
      <c r="W78" s="2">
        <f>52+29</f>
        <v>81</v>
      </c>
      <c r="X78" s="2">
        <f>40+8</f>
        <v>48</v>
      </c>
      <c r="Y78" s="2">
        <f>37+8</f>
        <v>45</v>
      </c>
      <c r="Z78" s="2">
        <f>51+5</f>
        <v>56</v>
      </c>
      <c r="AA78" s="2">
        <v>27</v>
      </c>
      <c r="AB78" s="2">
        <v>29</v>
      </c>
      <c r="AC78" s="2">
        <v>13</v>
      </c>
    </row>
    <row r="79" spans="1:29" x14ac:dyDescent="0.25">
      <c r="A79" s="1" t="s">
        <v>93</v>
      </c>
      <c r="L79" s="2">
        <v>0</v>
      </c>
      <c r="M79" s="2">
        <v>28</v>
      </c>
      <c r="N79" s="2">
        <v>40</v>
      </c>
      <c r="O79" s="2">
        <v>40</v>
      </c>
      <c r="P79" s="2">
        <v>58</v>
      </c>
      <c r="Q79" s="2">
        <v>51</v>
      </c>
      <c r="R79" s="2">
        <v>59</v>
      </c>
      <c r="S79" s="2">
        <v>63</v>
      </c>
      <c r="T79" s="2">
        <v>74</v>
      </c>
      <c r="U79" s="2">
        <v>72</v>
      </c>
      <c r="V79" s="2">
        <v>69</v>
      </c>
      <c r="W79" s="2">
        <v>78</v>
      </c>
      <c r="X79" s="2">
        <v>86</v>
      </c>
      <c r="Y79" s="2">
        <v>77</v>
      </c>
      <c r="Z79" s="2">
        <v>98</v>
      </c>
      <c r="AA79" s="2">
        <v>106</v>
      </c>
      <c r="AB79" s="2">
        <v>110</v>
      </c>
      <c r="AC79" s="2">
        <v>94</v>
      </c>
    </row>
    <row r="80" spans="1:29" x14ac:dyDescent="0.25">
      <c r="A80" s="22" t="s">
        <v>94</v>
      </c>
      <c r="L80" s="2">
        <v>0</v>
      </c>
      <c r="M80" s="2">
        <v>3</v>
      </c>
      <c r="N80" s="2">
        <v>0</v>
      </c>
      <c r="O80" s="2">
        <v>1</v>
      </c>
      <c r="P80" s="2">
        <v>2</v>
      </c>
      <c r="Q80" s="2">
        <v>1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</row>
    <row r="81" spans="1:29" x14ac:dyDescent="0.25">
      <c r="A81" s="1" t="s">
        <v>95</v>
      </c>
      <c r="L81" s="2">
        <v>0</v>
      </c>
      <c r="M81" s="2">
        <v>4</v>
      </c>
      <c r="N81" s="2">
        <v>5</v>
      </c>
      <c r="O81" s="2">
        <v>2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</row>
    <row r="82" spans="1:29" ht="13.15" customHeight="1" x14ac:dyDescent="0.25">
      <c r="A82" s="22" t="s">
        <v>96</v>
      </c>
      <c r="L82" s="2">
        <v>0</v>
      </c>
      <c r="M82" s="2">
        <v>4</v>
      </c>
      <c r="N82" s="2">
        <v>9</v>
      </c>
      <c r="O82" s="2">
        <v>5</v>
      </c>
      <c r="P82" s="2">
        <v>7</v>
      </c>
      <c r="Q82" s="2">
        <v>6</v>
      </c>
      <c r="R82" s="2">
        <v>8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</row>
    <row r="83" spans="1:29" ht="13.15" customHeight="1" x14ac:dyDescent="0.25">
      <c r="A83" s="22" t="s">
        <v>116</v>
      </c>
      <c r="N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2</v>
      </c>
    </row>
    <row r="84" spans="1:29" x14ac:dyDescent="0.25">
      <c r="A84" s="1" t="s">
        <v>97</v>
      </c>
      <c r="L84" s="2">
        <v>0</v>
      </c>
      <c r="M84" s="2" t="s">
        <v>37</v>
      </c>
      <c r="N84" s="2" t="s">
        <v>37</v>
      </c>
      <c r="O84" s="2" t="s">
        <v>37</v>
      </c>
      <c r="P84" s="2" t="s">
        <v>37</v>
      </c>
      <c r="Q84" s="2" t="s">
        <v>37</v>
      </c>
      <c r="R84" s="2">
        <v>6</v>
      </c>
      <c r="S84" s="2">
        <v>7</v>
      </c>
      <c r="T84" s="2">
        <v>15</v>
      </c>
      <c r="U84" s="2">
        <v>6</v>
      </c>
      <c r="V84" s="2">
        <v>19</v>
      </c>
      <c r="W84" s="2">
        <v>17</v>
      </c>
      <c r="X84" s="2">
        <v>26</v>
      </c>
      <c r="Y84" s="2">
        <v>22</v>
      </c>
      <c r="Z84" s="2">
        <v>18</v>
      </c>
      <c r="AA84" s="2">
        <v>26</v>
      </c>
      <c r="AB84" s="31">
        <v>23</v>
      </c>
      <c r="AC84" s="2">
        <v>17</v>
      </c>
    </row>
    <row r="85" spans="1:29" x14ac:dyDescent="0.25">
      <c r="A85" s="23" t="s">
        <v>98</v>
      </c>
      <c r="B85" s="12">
        <v>266</v>
      </c>
      <c r="C85" s="12">
        <v>216</v>
      </c>
      <c r="D85" s="12">
        <v>185</v>
      </c>
      <c r="E85" s="12">
        <v>232</v>
      </c>
      <c r="F85" s="12">
        <v>252</v>
      </c>
      <c r="G85" s="12">
        <v>312</v>
      </c>
      <c r="H85" s="12">
        <v>337</v>
      </c>
      <c r="I85" s="12">
        <f>SUM(I78)</f>
        <v>358</v>
      </c>
      <c r="J85" s="12">
        <f>SUM(J78)</f>
        <v>374</v>
      </c>
      <c r="K85" s="12">
        <f>SUM(K78)</f>
        <v>358</v>
      </c>
      <c r="L85" s="12">
        <f>SUM(L78)</f>
        <v>307</v>
      </c>
      <c r="M85" s="12">
        <f>SUM(M68:M82)</f>
        <v>283</v>
      </c>
      <c r="N85" s="12">
        <f>SUM(N68:N82)</f>
        <v>304</v>
      </c>
      <c r="O85" s="12">
        <f>SUM(O68:O82)</f>
        <v>369</v>
      </c>
      <c r="P85" s="12">
        <f>SUM(P68:P82)</f>
        <v>411</v>
      </c>
      <c r="Q85" s="12">
        <f>SUM(Q68:Q82)</f>
        <v>441</v>
      </c>
      <c r="R85" s="12">
        <f t="shared" ref="R85:AC85" si="14">SUM(R68:R84)</f>
        <v>455</v>
      </c>
      <c r="S85" s="12">
        <f t="shared" si="14"/>
        <v>488</v>
      </c>
      <c r="T85" s="12">
        <f t="shared" si="14"/>
        <v>454</v>
      </c>
      <c r="U85" s="12">
        <f t="shared" si="14"/>
        <v>531</v>
      </c>
      <c r="V85" s="12">
        <f t="shared" si="14"/>
        <v>515</v>
      </c>
      <c r="W85" s="12">
        <f t="shared" si="14"/>
        <v>528</v>
      </c>
      <c r="X85" s="12">
        <f t="shared" si="14"/>
        <v>494</v>
      </c>
      <c r="Y85" s="12">
        <f t="shared" si="14"/>
        <v>491</v>
      </c>
      <c r="Z85" s="12">
        <f t="shared" si="14"/>
        <v>490</v>
      </c>
      <c r="AA85" s="12">
        <f t="shared" si="14"/>
        <v>467</v>
      </c>
      <c r="AB85" s="12">
        <f t="shared" si="14"/>
        <v>440</v>
      </c>
      <c r="AC85" s="12">
        <f t="shared" si="14"/>
        <v>388</v>
      </c>
    </row>
    <row r="86" spans="1:29" x14ac:dyDescent="0.25">
      <c r="A86" s="19" t="s">
        <v>101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2"/>
      <c r="S86" s="9"/>
      <c r="X86" s="2"/>
    </row>
    <row r="87" spans="1:29" x14ac:dyDescent="0.25">
      <c r="A87" s="1" t="s">
        <v>102</v>
      </c>
      <c r="F87" s="9"/>
      <c r="G87" s="9"/>
      <c r="H87" s="9"/>
      <c r="I87" s="9"/>
      <c r="J87" s="9"/>
      <c r="K87" s="9"/>
      <c r="L87" s="9"/>
      <c r="M87" s="10">
        <v>0</v>
      </c>
      <c r="N87" s="10">
        <v>0</v>
      </c>
      <c r="O87" s="10">
        <v>0</v>
      </c>
      <c r="P87" s="10">
        <v>0</v>
      </c>
      <c r="Q87" s="10">
        <v>4</v>
      </c>
      <c r="R87" s="2">
        <v>5</v>
      </c>
      <c r="S87" s="10">
        <v>15</v>
      </c>
      <c r="T87" s="2">
        <v>36</v>
      </c>
      <c r="U87" s="2">
        <v>59</v>
      </c>
      <c r="V87" s="2">
        <v>50</v>
      </c>
      <c r="W87" s="2">
        <v>71</v>
      </c>
      <c r="X87" s="2">
        <v>62</v>
      </c>
      <c r="Y87" s="2">
        <v>68</v>
      </c>
      <c r="Z87" s="2">
        <v>76</v>
      </c>
      <c r="AA87" s="2">
        <v>68</v>
      </c>
      <c r="AB87" s="2">
        <v>40</v>
      </c>
      <c r="AC87" s="2">
        <v>71</v>
      </c>
    </row>
    <row r="88" spans="1:29" x14ac:dyDescent="0.25">
      <c r="A88" s="1" t="s">
        <v>103</v>
      </c>
      <c r="F88" s="9"/>
      <c r="G88" s="9"/>
      <c r="H88" s="9"/>
      <c r="I88" s="9"/>
      <c r="J88" s="9"/>
      <c r="K88" s="9"/>
      <c r="L88" s="9"/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2">
        <v>0</v>
      </c>
      <c r="S88" s="10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30">
        <v>0</v>
      </c>
      <c r="AA88" s="2">
        <v>0</v>
      </c>
      <c r="AB88" s="2">
        <v>0</v>
      </c>
      <c r="AC88" s="2">
        <v>0</v>
      </c>
    </row>
    <row r="89" spans="1:29" x14ac:dyDescent="0.25">
      <c r="A89" s="1" t="s">
        <v>104</v>
      </c>
      <c r="F89" s="9"/>
      <c r="G89" s="9"/>
      <c r="H89" s="9"/>
      <c r="I89" s="9"/>
      <c r="J89" s="9"/>
      <c r="K89" s="9"/>
      <c r="L89" s="9"/>
      <c r="M89" s="10"/>
      <c r="N89" s="10"/>
      <c r="O89" s="10"/>
      <c r="P89" s="10"/>
      <c r="Q89" s="10"/>
      <c r="R89" s="2"/>
      <c r="S89" s="10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30">
        <v>2</v>
      </c>
      <c r="AA89" s="2">
        <v>13</v>
      </c>
      <c r="AB89" s="2">
        <v>15</v>
      </c>
      <c r="AC89" s="2">
        <v>24</v>
      </c>
    </row>
    <row r="90" spans="1:29" x14ac:dyDescent="0.25">
      <c r="A90" s="23" t="s">
        <v>105</v>
      </c>
      <c r="B90" s="4"/>
      <c r="C90" s="4"/>
      <c r="D90" s="4"/>
      <c r="E90" s="4"/>
      <c r="F90" s="8"/>
      <c r="G90" s="8"/>
      <c r="H90" s="8"/>
      <c r="I90" s="8"/>
      <c r="J90" s="8"/>
      <c r="K90" s="8"/>
      <c r="L90" s="8">
        <f t="shared" ref="L90:R90" si="15">SUM(L87:L88)</f>
        <v>0</v>
      </c>
      <c r="M90" s="8">
        <f t="shared" si="15"/>
        <v>0</v>
      </c>
      <c r="N90" s="8">
        <f t="shared" si="15"/>
        <v>0</v>
      </c>
      <c r="O90" s="8">
        <f t="shared" si="15"/>
        <v>0</v>
      </c>
      <c r="P90" s="8">
        <f t="shared" si="15"/>
        <v>0</v>
      </c>
      <c r="Q90" s="8">
        <f t="shared" si="15"/>
        <v>4</v>
      </c>
      <c r="R90" s="8">
        <f t="shared" si="15"/>
        <v>5</v>
      </c>
      <c r="S90" s="8">
        <f t="shared" ref="S90:Y90" si="16">SUM(S87:S88)</f>
        <v>15</v>
      </c>
      <c r="T90" s="8">
        <f t="shared" si="16"/>
        <v>36</v>
      </c>
      <c r="U90" s="8">
        <f t="shared" si="16"/>
        <v>59</v>
      </c>
      <c r="V90" s="8">
        <f t="shared" si="16"/>
        <v>50</v>
      </c>
      <c r="W90" s="8">
        <f t="shared" si="16"/>
        <v>71</v>
      </c>
      <c r="X90" s="8">
        <f t="shared" si="16"/>
        <v>62</v>
      </c>
      <c r="Y90" s="8">
        <f t="shared" si="16"/>
        <v>68</v>
      </c>
      <c r="Z90" s="8">
        <f>SUM(Z87:Z89)</f>
        <v>78</v>
      </c>
      <c r="AA90" s="8">
        <f>SUM(AA87:AA89)</f>
        <v>81</v>
      </c>
      <c r="AB90" s="8">
        <f>SUM(AB87:AB89)</f>
        <v>55</v>
      </c>
      <c r="AC90" s="8">
        <f>SUM(AC87:AC89)</f>
        <v>95</v>
      </c>
    </row>
    <row r="91" spans="1:29" x14ac:dyDescent="0.25">
      <c r="A91" s="19" t="s">
        <v>106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X91" s="2"/>
    </row>
    <row r="92" spans="1:29" x14ac:dyDescent="0.25">
      <c r="A92" s="1" t="s">
        <v>107</v>
      </c>
      <c r="T92" s="2">
        <v>0</v>
      </c>
      <c r="U92" s="2">
        <v>0</v>
      </c>
      <c r="V92" s="2">
        <v>5</v>
      </c>
      <c r="W92" s="2">
        <v>8</v>
      </c>
      <c r="X92" s="2">
        <v>12</v>
      </c>
      <c r="Y92" s="2">
        <v>5</v>
      </c>
      <c r="Z92" s="2">
        <v>5</v>
      </c>
      <c r="AA92" s="2">
        <v>2</v>
      </c>
      <c r="AB92" s="2">
        <v>3</v>
      </c>
      <c r="AC92" s="2">
        <v>2</v>
      </c>
    </row>
    <row r="93" spans="1:29" x14ac:dyDescent="0.25">
      <c r="A93" s="1" t="s">
        <v>108</v>
      </c>
      <c r="B93" s="2">
        <v>21</v>
      </c>
      <c r="C93" s="2">
        <v>29</v>
      </c>
      <c r="D93" s="2">
        <v>19</v>
      </c>
      <c r="E93" s="2">
        <v>14</v>
      </c>
      <c r="F93" s="2">
        <v>17</v>
      </c>
      <c r="G93" s="2">
        <f>19+3</f>
        <v>22</v>
      </c>
      <c r="H93" s="2">
        <v>29</v>
      </c>
      <c r="I93" s="2">
        <v>27</v>
      </c>
      <c r="J93" s="2">
        <v>25</v>
      </c>
      <c r="K93" s="2">
        <f>15+11</f>
        <v>26</v>
      </c>
      <c r="L93" s="2">
        <f>21+1</f>
        <v>22</v>
      </c>
      <c r="M93" s="2">
        <f>18+4+1</f>
        <v>23</v>
      </c>
      <c r="N93" s="2">
        <f>14+4+1</f>
        <v>19</v>
      </c>
      <c r="O93" s="2">
        <f>17+9</f>
        <v>26</v>
      </c>
      <c r="P93" s="2">
        <v>33</v>
      </c>
      <c r="Q93" s="2">
        <f>18+12+1</f>
        <v>31</v>
      </c>
      <c r="R93" s="2">
        <v>41</v>
      </c>
      <c r="S93" s="2">
        <v>49</v>
      </c>
      <c r="T93" s="2">
        <v>37</v>
      </c>
      <c r="U93" s="2">
        <v>46</v>
      </c>
      <c r="V93" s="2">
        <v>39</v>
      </c>
      <c r="W93" s="2">
        <v>57</v>
      </c>
      <c r="X93" s="2">
        <v>48</v>
      </c>
      <c r="Y93" s="2">
        <v>46</v>
      </c>
      <c r="Z93" s="2">
        <v>52</v>
      </c>
      <c r="AA93" s="2">
        <v>55</v>
      </c>
      <c r="AB93" s="2">
        <v>39</v>
      </c>
      <c r="AC93" s="2">
        <v>41</v>
      </c>
    </row>
    <row r="94" spans="1:29" x14ac:dyDescent="0.25">
      <c r="A94" s="1" t="s">
        <v>109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 s="1"/>
      <c r="P94" s="1"/>
      <c r="T94" s="2">
        <v>0</v>
      </c>
      <c r="U94" s="2">
        <v>0</v>
      </c>
      <c r="V94" s="2">
        <v>0</v>
      </c>
      <c r="W94" s="2">
        <v>1</v>
      </c>
      <c r="X94" s="2">
        <v>1</v>
      </c>
      <c r="Y94" s="2">
        <v>8</v>
      </c>
      <c r="Z94" s="2">
        <v>6</v>
      </c>
      <c r="AA94" s="2">
        <v>11</v>
      </c>
      <c r="AB94" s="2">
        <v>10</v>
      </c>
      <c r="AC94" s="2">
        <v>6</v>
      </c>
    </row>
    <row r="95" spans="1:29" s="3" customFormat="1" x14ac:dyDescent="0.25">
      <c r="A95" s="26" t="s">
        <v>110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>
        <f t="shared" ref="L95:V95" si="17">SUM(L92:L93)</f>
        <v>22</v>
      </c>
      <c r="M95" s="12">
        <f t="shared" si="17"/>
        <v>23</v>
      </c>
      <c r="N95" s="12">
        <f t="shared" si="17"/>
        <v>19</v>
      </c>
      <c r="O95" s="12">
        <f t="shared" si="17"/>
        <v>26</v>
      </c>
      <c r="P95" s="12">
        <f t="shared" si="17"/>
        <v>33</v>
      </c>
      <c r="Q95" s="12">
        <f t="shared" si="17"/>
        <v>31</v>
      </c>
      <c r="R95" s="12">
        <f t="shared" si="17"/>
        <v>41</v>
      </c>
      <c r="S95" s="12">
        <f t="shared" si="17"/>
        <v>49</v>
      </c>
      <c r="T95" s="12">
        <f t="shared" si="17"/>
        <v>37</v>
      </c>
      <c r="U95" s="12">
        <f t="shared" si="17"/>
        <v>46</v>
      </c>
      <c r="V95" s="12">
        <f t="shared" si="17"/>
        <v>44</v>
      </c>
      <c r="W95" s="12">
        <f t="shared" ref="W95:AC95" si="18">SUM(W92:W94)</f>
        <v>66</v>
      </c>
      <c r="X95" s="12">
        <f t="shared" si="18"/>
        <v>61</v>
      </c>
      <c r="Y95" s="12">
        <f t="shared" si="18"/>
        <v>59</v>
      </c>
      <c r="Z95" s="12">
        <f t="shared" si="18"/>
        <v>63</v>
      </c>
      <c r="AA95" s="12">
        <f t="shared" si="18"/>
        <v>68</v>
      </c>
      <c r="AB95" s="12">
        <f t="shared" si="18"/>
        <v>52</v>
      </c>
      <c r="AC95" s="12">
        <f t="shared" si="18"/>
        <v>49</v>
      </c>
    </row>
    <row r="96" spans="1:29" x14ac:dyDescent="0.25">
      <c r="A96" s="19" t="s">
        <v>111</v>
      </c>
      <c r="F96" s="9"/>
      <c r="G96" s="9"/>
      <c r="H96" s="9"/>
      <c r="I96" s="9"/>
      <c r="J96" s="9"/>
      <c r="K96" s="9"/>
      <c r="L96" s="13" t="e">
        <f>L44+L57+L66+L85+#REF!+L90+#REF!+L95</f>
        <v>#REF!</v>
      </c>
      <c r="M96" s="13" t="e">
        <f>M44+M57+M66+M85+#REF!+M90+#REF!+M95</f>
        <v>#REF!</v>
      </c>
      <c r="N96" s="13" t="e">
        <f>N44+N57+N66+N85+#REF!+N90+N95</f>
        <v>#REF!</v>
      </c>
      <c r="O96" s="13" t="e">
        <f>O44+O57+O66+O85+#REF!+O90+O95</f>
        <v>#REF!</v>
      </c>
      <c r="P96" s="13" t="e">
        <f>P44+P57+P66+P85+#REF!+P90+P95</f>
        <v>#REF!</v>
      </c>
      <c r="Q96" s="13" t="e">
        <f>Q44+Q57+Q66+Q85+#REF!+Q90+Q95</f>
        <v>#REF!</v>
      </c>
      <c r="R96" s="13" t="e">
        <f>R44+R57+R66+R85+#REF!+R90+R95</f>
        <v>#REF!</v>
      </c>
      <c r="S96" s="13" t="e">
        <f>S44+S57+S66+S85+#REF!+S90+S95</f>
        <v>#REF!</v>
      </c>
      <c r="T96" s="13">
        <f t="shared" ref="T96:AC96" si="19">SUM(T44+T57+T66+T85+T90+T95)</f>
        <v>2595</v>
      </c>
      <c r="U96" s="13">
        <f t="shared" si="19"/>
        <v>2712</v>
      </c>
      <c r="V96" s="13">
        <f t="shared" si="19"/>
        <v>2755</v>
      </c>
      <c r="W96" s="13">
        <f t="shared" si="19"/>
        <v>2663</v>
      </c>
      <c r="X96" s="13">
        <f t="shared" si="19"/>
        <v>2576</v>
      </c>
      <c r="Y96" s="13">
        <f t="shared" si="19"/>
        <v>2605</v>
      </c>
      <c r="Z96" s="13">
        <f t="shared" si="19"/>
        <v>2801</v>
      </c>
      <c r="AA96" s="13">
        <f t="shared" si="19"/>
        <v>2853</v>
      </c>
      <c r="AB96" s="13">
        <f t="shared" si="19"/>
        <v>2477</v>
      </c>
      <c r="AC96" s="13">
        <f t="shared" si="19"/>
        <v>2435</v>
      </c>
    </row>
    <row r="97" spans="1:29" s="32" customFormat="1" ht="12.75" x14ac:dyDescent="0.2">
      <c r="A97" s="32" t="s">
        <v>112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R97" s="33"/>
      <c r="S97" s="33"/>
      <c r="T97" s="33"/>
      <c r="U97" s="33"/>
      <c r="V97" s="33"/>
      <c r="W97" s="33"/>
      <c r="Y97" s="33"/>
      <c r="AA97" s="33"/>
      <c r="AB97" s="33"/>
      <c r="AC97" s="33"/>
    </row>
    <row r="99" spans="1:29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1"/>
      <c r="P99" s="1"/>
      <c r="R99" s="2"/>
      <c r="S99" s="2"/>
    </row>
    <row r="100" spans="1:29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1"/>
      <c r="P100" s="1"/>
      <c r="R100" s="2"/>
      <c r="S100" s="2"/>
    </row>
    <row r="101" spans="1:29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1"/>
      <c r="P101" s="1"/>
      <c r="R101" s="2"/>
      <c r="S101" s="2"/>
    </row>
    <row r="102" spans="1:29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1"/>
      <c r="P102" s="1"/>
      <c r="R102" s="2"/>
      <c r="S102" s="2"/>
    </row>
    <row r="103" spans="1:29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1"/>
      <c r="P103" s="1"/>
      <c r="R103" s="2"/>
      <c r="S103" s="2"/>
    </row>
    <row r="104" spans="1:29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1"/>
      <c r="P104" s="1"/>
      <c r="R104" s="2"/>
      <c r="S104" s="2"/>
    </row>
    <row r="105" spans="1:29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1"/>
      <c r="P105" s="1"/>
      <c r="R105" s="2"/>
      <c r="S105" s="2"/>
    </row>
    <row r="106" spans="1:29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1"/>
      <c r="P106" s="1"/>
      <c r="R106" s="2"/>
      <c r="S106" s="2"/>
    </row>
    <row r="107" spans="1:29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1"/>
      <c r="P107" s="1"/>
      <c r="R107" s="2"/>
      <c r="S107" s="2"/>
    </row>
    <row r="108" spans="1:29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1"/>
      <c r="P108" s="1"/>
      <c r="R108" s="2"/>
      <c r="S108" s="2"/>
    </row>
    <row r="109" spans="1:29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1"/>
      <c r="P109" s="1"/>
      <c r="R109" s="2"/>
      <c r="S109" s="2"/>
    </row>
    <row r="110" spans="1:29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1"/>
      <c r="P110" s="1"/>
      <c r="R110" s="2"/>
      <c r="S110" s="2"/>
    </row>
    <row r="111" spans="1:29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1"/>
      <c r="P111" s="1"/>
      <c r="R111" s="2"/>
      <c r="S111" s="2"/>
    </row>
    <row r="112" spans="1:29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1"/>
      <c r="P112" s="1"/>
      <c r="R112" s="2"/>
      <c r="S112" s="2"/>
    </row>
    <row r="113" spans="2:19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1"/>
      <c r="P113" s="1"/>
      <c r="R113" s="2"/>
      <c r="S113" s="2"/>
    </row>
    <row r="114" spans="2:19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1"/>
      <c r="P114" s="1"/>
      <c r="R114" s="2"/>
      <c r="S114" s="2"/>
    </row>
    <row r="115" spans="2:19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1"/>
      <c r="P115" s="1"/>
      <c r="R115" s="2"/>
      <c r="S115" s="2"/>
    </row>
    <row r="116" spans="2:19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1"/>
      <c r="P116" s="1"/>
      <c r="R116" s="2"/>
      <c r="S116" s="2"/>
    </row>
    <row r="117" spans="2:19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1"/>
      <c r="P117" s="1"/>
      <c r="R117" s="2"/>
      <c r="S117" s="2"/>
    </row>
    <row r="118" spans="2:19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1"/>
      <c r="P118" s="1"/>
      <c r="R118" s="2"/>
      <c r="S118" s="2"/>
    </row>
    <row r="119" spans="2:19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1"/>
      <c r="P119" s="1"/>
      <c r="R119" s="2"/>
      <c r="S119" s="2"/>
    </row>
    <row r="120" spans="2:19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1"/>
      <c r="P120" s="1"/>
      <c r="R120" s="2"/>
      <c r="S120" s="2"/>
    </row>
    <row r="121" spans="2:19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1"/>
      <c r="P121" s="1"/>
      <c r="R121" s="2"/>
      <c r="S121" s="2"/>
    </row>
    <row r="122" spans="2:19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1"/>
      <c r="P122" s="1"/>
      <c r="R122" s="2"/>
      <c r="S122" s="2"/>
    </row>
    <row r="123" spans="2:19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1"/>
      <c r="P123" s="1"/>
      <c r="R123" s="2"/>
      <c r="S123" s="2"/>
    </row>
    <row r="124" spans="2:19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1"/>
      <c r="P124" s="1"/>
      <c r="R124" s="2"/>
      <c r="S124" s="2"/>
    </row>
    <row r="125" spans="2:19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1"/>
      <c r="P125" s="1"/>
      <c r="R125" s="2"/>
      <c r="S125" s="2"/>
    </row>
    <row r="126" spans="2:19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1"/>
      <c r="P126" s="1"/>
      <c r="R126" s="2"/>
      <c r="S126" s="2"/>
    </row>
    <row r="127" spans="2:19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1"/>
      <c r="P127" s="1"/>
      <c r="R127" s="2"/>
      <c r="S127" s="2"/>
    </row>
    <row r="128" spans="2:19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1"/>
      <c r="P128" s="1"/>
      <c r="R128" s="2"/>
      <c r="S128" s="2"/>
    </row>
    <row r="129" spans="2:19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1"/>
      <c r="P129" s="1"/>
      <c r="R129" s="2"/>
      <c r="S129" s="2"/>
    </row>
    <row r="130" spans="2:19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1"/>
      <c r="P130" s="1"/>
      <c r="R130" s="2"/>
      <c r="S130" s="2"/>
    </row>
    <row r="131" spans="2:19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1"/>
      <c r="P131" s="1"/>
      <c r="R131" s="2"/>
      <c r="S131" s="2"/>
    </row>
    <row r="132" spans="2:19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1"/>
      <c r="P132" s="1"/>
      <c r="R132" s="2"/>
      <c r="S132" s="2"/>
    </row>
    <row r="133" spans="2:19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1"/>
      <c r="P133" s="1"/>
      <c r="R133" s="2"/>
      <c r="S133" s="2"/>
    </row>
    <row r="134" spans="2:19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1"/>
      <c r="P134" s="1"/>
      <c r="R134" s="2"/>
      <c r="S134" s="2"/>
    </row>
    <row r="135" spans="2:19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1"/>
      <c r="P135" s="1"/>
      <c r="R135" s="2"/>
      <c r="S135" s="2"/>
    </row>
    <row r="136" spans="2:19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1"/>
      <c r="P136" s="1"/>
      <c r="R136" s="2"/>
      <c r="S136" s="2"/>
    </row>
    <row r="137" spans="2:19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1"/>
      <c r="P137" s="1"/>
      <c r="R137" s="2"/>
      <c r="S137" s="2"/>
    </row>
    <row r="138" spans="2:19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1"/>
      <c r="P138" s="1"/>
      <c r="R138" s="2"/>
      <c r="S138" s="2"/>
    </row>
    <row r="139" spans="2:19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1"/>
      <c r="P139" s="1"/>
      <c r="R139" s="2"/>
      <c r="S139" s="2"/>
    </row>
    <row r="140" spans="2:19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1"/>
      <c r="P140" s="1"/>
      <c r="R140" s="2"/>
      <c r="S140" s="2"/>
    </row>
    <row r="141" spans="2:19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1"/>
      <c r="P141" s="1"/>
      <c r="R141" s="2"/>
      <c r="S141" s="2"/>
    </row>
    <row r="142" spans="2:19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1"/>
      <c r="P142" s="1"/>
      <c r="R142" s="2"/>
      <c r="S142" s="2"/>
    </row>
    <row r="143" spans="2:19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1"/>
      <c r="P143" s="1"/>
      <c r="R143" s="2"/>
      <c r="S143" s="2"/>
    </row>
    <row r="144" spans="2:19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1"/>
      <c r="P144" s="1"/>
      <c r="R144" s="2"/>
      <c r="S144" s="2"/>
    </row>
    <row r="145" spans="2:19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1"/>
      <c r="P145" s="1"/>
      <c r="R145" s="2"/>
      <c r="S145" s="2"/>
    </row>
    <row r="146" spans="2:19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1"/>
      <c r="P146" s="1"/>
      <c r="R146" s="2"/>
      <c r="S146" s="2"/>
    </row>
    <row r="147" spans="2:19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1"/>
      <c r="P147" s="1"/>
      <c r="R147" s="2"/>
      <c r="S147" s="2"/>
    </row>
    <row r="148" spans="2:19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1"/>
      <c r="P148" s="1"/>
      <c r="R148" s="2"/>
      <c r="S148" s="2"/>
    </row>
    <row r="149" spans="2:19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1"/>
      <c r="P149" s="1"/>
      <c r="R149" s="2"/>
      <c r="S149" s="2"/>
    </row>
    <row r="150" spans="2:19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1"/>
      <c r="P150" s="1"/>
      <c r="R150" s="2"/>
      <c r="S150" s="2"/>
    </row>
    <row r="151" spans="2:19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1"/>
      <c r="P151" s="1"/>
      <c r="R151" s="2"/>
      <c r="S151" s="2"/>
    </row>
    <row r="152" spans="2:19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1"/>
      <c r="P152" s="1"/>
      <c r="R152" s="2"/>
      <c r="S152" s="2"/>
    </row>
    <row r="153" spans="2:19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1"/>
      <c r="P153" s="1"/>
      <c r="R153" s="2"/>
      <c r="S153" s="2"/>
    </row>
    <row r="154" spans="2:19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1"/>
      <c r="P154" s="1"/>
      <c r="R154" s="2"/>
      <c r="S154" s="2"/>
    </row>
    <row r="155" spans="2:19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1"/>
      <c r="P155" s="1"/>
      <c r="R155" s="2"/>
      <c r="S155" s="2"/>
    </row>
    <row r="156" spans="2:19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1"/>
      <c r="P156" s="1"/>
      <c r="R156" s="2"/>
      <c r="S156" s="2"/>
    </row>
    <row r="157" spans="2:19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1"/>
      <c r="P157" s="1"/>
      <c r="R157" s="2"/>
      <c r="S157" s="2"/>
    </row>
    <row r="158" spans="2:19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1"/>
      <c r="P158" s="1"/>
      <c r="R158" s="2"/>
      <c r="S158" s="2"/>
    </row>
    <row r="159" spans="2:19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1"/>
      <c r="P159" s="1"/>
      <c r="R159" s="2"/>
      <c r="S159" s="2"/>
    </row>
    <row r="160" spans="2:19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1"/>
      <c r="P160" s="1"/>
      <c r="R160" s="2"/>
      <c r="S160" s="2"/>
    </row>
    <row r="161" spans="2:19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1"/>
      <c r="P161" s="1"/>
      <c r="R161" s="2"/>
      <c r="S161" s="2"/>
    </row>
    <row r="162" spans="2:19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1"/>
      <c r="P162" s="1"/>
      <c r="R162" s="2"/>
      <c r="S162" s="2"/>
    </row>
    <row r="163" spans="2:19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1"/>
      <c r="P163" s="1"/>
      <c r="R163" s="2"/>
      <c r="S163" s="2"/>
    </row>
    <row r="164" spans="2:19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1"/>
      <c r="P164" s="1"/>
      <c r="R164" s="2"/>
      <c r="S164" s="2"/>
    </row>
    <row r="165" spans="2:19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1"/>
      <c r="P165" s="1"/>
    </row>
    <row r="166" spans="2:19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1"/>
      <c r="P166" s="1"/>
    </row>
    <row r="167" spans="2:19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1"/>
      <c r="P167" s="1"/>
    </row>
    <row r="168" spans="2:19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1"/>
      <c r="P168" s="1"/>
    </row>
  </sheetData>
  <phoneticPr fontId="18" type="noConversion"/>
  <printOptions horizontalCentered="1" verticalCentered="1"/>
  <pageMargins left="0.75" right="0.75" top="1" bottom="1" header="0.5" footer="0.5"/>
  <pageSetup scale="70" firstPageNumber="41" orientation="portrait" useFirstPageNumber="1" r:id="rId1"/>
  <headerFooter alignWithMargins="0">
    <oddHeader>&amp;L&amp;"Lucida Grande,Bold Italic"&amp;K000000Program Level Data &amp;C&amp;"Lucida Grande,Bold Italic"&amp;K000000Table 36&amp;R&amp;"Lucida Grande,Bold Italic"&amp;K000000Baccalaureate Degree Completion Trends</oddHeader>
    <oddFooter>&amp;L&amp;"Lucida Grande,Bold Italic"&amp;K000000Office of Institutional Research, UMass Boston</oddFooter>
  </headerFooter>
  <rowBreaks count="1" manualBreakCount="1">
    <brk id="5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36</vt:lpstr>
      <vt:lpstr>'TABLE 36'!Print_Area</vt:lpstr>
      <vt:lpstr>'TABLE 36'!Print_Titles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2025-06-05T13:38:54Z</cp:lastPrinted>
  <dcterms:created xsi:type="dcterms:W3CDTF">2007-04-18T21:15:21Z</dcterms:created>
  <dcterms:modified xsi:type="dcterms:W3CDTF">2025-06-05T13:39:09Z</dcterms:modified>
  <cp:category/>
  <cp:contentStatus/>
</cp:coreProperties>
</file>